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60" windowHeight="8700" firstSheet="2" activeTab="4"/>
  </bookViews>
  <sheets>
    <sheet name="Scenario A" sheetId="1" r:id="rId1"/>
    <sheet name="Scenario B" sheetId="2" r:id="rId2"/>
    <sheet name="Scenario C" sheetId="3" r:id="rId3"/>
    <sheet name="Scenario D" sheetId="4" r:id="rId4"/>
    <sheet name="ISP Models" sheetId="5" r:id="rId5"/>
    <sheet name="reference" sheetId="6" r:id="rId6"/>
  </sheets>
  <definedNames/>
  <calcPr fullCalcOnLoad="1"/>
</workbook>
</file>

<file path=xl/comments1.xml><?xml version="1.0" encoding="utf-8"?>
<comments xmlns="http://schemas.openxmlformats.org/spreadsheetml/2006/main">
  <authors>
    <author>becky rogers ackermann</author>
  </authors>
  <commentList>
    <comment ref="A53" authorId="0">
      <text>
        <r>
          <rPr>
            <b/>
            <sz val="8"/>
            <rFont val="Tahoma"/>
            <family val="0"/>
          </rPr>
          <t>aggregate savings (or loss) to the entire ISP market from this scenario</t>
        </r>
      </text>
    </comment>
    <comment ref="A51" authorId="0">
      <text>
        <r>
          <rPr>
            <b/>
            <sz val="8"/>
            <rFont val="Tahoma"/>
            <family val="0"/>
          </rPr>
          <t>What percent of bandwidth that could be routed to the IXP is being routed to the IXP in this scenario</t>
        </r>
      </text>
    </comment>
    <comment ref="A49" authorId="0">
      <text>
        <r>
          <rPr>
            <b/>
            <sz val="8"/>
            <rFont val="Tahoma"/>
            <family val="0"/>
          </rPr>
          <t>calculated for the entire ISP segment, not per ISP</t>
        </r>
      </text>
    </comment>
    <comment ref="A47" authorId="0">
      <text>
        <r>
          <rPr>
            <b/>
            <sz val="8"/>
            <rFont val="Tahoma"/>
            <family val="0"/>
          </rPr>
          <t>calculated for the entire ISP segment, not per ISP</t>
        </r>
      </text>
    </comment>
    <comment ref="A46" authorId="0">
      <text>
        <r>
          <rPr>
            <b/>
            <sz val="8"/>
            <rFont val="Tahoma"/>
            <family val="0"/>
          </rPr>
          <t>calculated for the entire ISP segment, not per ISP</t>
        </r>
      </text>
    </comment>
    <comment ref="A45" authorId="0">
      <text>
        <r>
          <rPr>
            <b/>
            <sz val="8"/>
            <rFont val="Tahoma"/>
            <family val="0"/>
          </rPr>
          <t>calculated for the entire ISP segment, not per ISP</t>
        </r>
      </text>
    </comment>
    <comment ref="B44" authorId="0">
      <text>
        <r>
          <rPr>
            <b/>
            <sz val="8"/>
            <rFont val="Tahoma"/>
            <family val="0"/>
          </rPr>
          <t>calculated for the entire ISP segment, not per ISP</t>
        </r>
      </text>
    </comment>
    <comment ref="A42" authorId="0">
      <text>
        <r>
          <rPr>
            <b/>
            <sz val="8"/>
            <rFont val="Tahoma"/>
            <family val="0"/>
          </rPr>
          <t>the bandwidth savings from reducing international bandwidth minus the costs of the new local bandwidth and the costs of participating in the IXP</t>
        </r>
      </text>
    </comment>
    <comment ref="A40" authorId="0">
      <text>
        <r>
          <rPr>
            <b/>
            <sz val="8"/>
            <rFont val="Tahoma"/>
            <family val="0"/>
          </rPr>
          <t>an annual fee to share in the operating costs of the IXP. Set as a variable in the 'ISP Model' worksheet.</t>
        </r>
      </text>
    </comment>
    <comment ref="A39" authorId="0">
      <text>
        <r>
          <rPr>
            <b/>
            <sz val="8"/>
            <rFont val="Tahoma"/>
            <family val="0"/>
          </rPr>
          <t>the cost of the local bandwidth. This $ amount is set in the 'ISP Models' worksheet, either as a global variable, or per ISP segment</t>
        </r>
      </text>
    </comment>
    <comment ref="A38" authorId="0">
      <text>
        <r>
          <rPr>
            <b/>
            <sz val="8"/>
            <rFont val="Tahoma"/>
            <family val="0"/>
          </rPr>
          <t>How much more is the above number than the actual number of Mbps 'converted' from international to local</t>
        </r>
      </text>
    </comment>
    <comment ref="A37" authorId="0">
      <text>
        <r>
          <rPr>
            <b/>
            <sz val="8"/>
            <rFont val="Tahoma"/>
            <family val="0"/>
          </rPr>
          <t>given the standardised increments of the above number, what is the actual local bandwidth that will be going to the IXP</t>
        </r>
      </text>
    </comment>
    <comment ref="A36" authorId="0">
      <text>
        <r>
          <rPr>
            <b/>
            <sz val="8"/>
            <rFont val="Tahoma"/>
            <family val="0"/>
          </rPr>
          <t>the local bandwidth going to the IXP, counted in standard bandwidth increments that can be purchased (e.g., 64k lines are frequently the smallest increment that can be purchased)</t>
        </r>
      </text>
    </comment>
    <comment ref="A34" authorId="0">
      <text>
        <r>
          <rPr>
            <b/>
            <sz val="8"/>
            <rFont val="Tahoma"/>
            <family val="0"/>
          </rPr>
          <t>the above %, expressed as $ savings from a reduced expenditure on international bandwidth (a cost variable set in the 'ISP Models' worksheet)</t>
        </r>
      </text>
    </comment>
    <comment ref="A33" authorId="0">
      <text>
        <r>
          <rPr>
            <b/>
            <sz val="8"/>
            <rFont val="Tahoma"/>
            <family val="0"/>
          </rPr>
          <t>the above amount as a % of all the bandwidth used by an ISP in a segment is the IXP did not exist</t>
        </r>
      </text>
    </comment>
    <comment ref="A32" authorId="0">
      <text>
        <r>
          <rPr>
            <b/>
            <sz val="8"/>
            <rFont val="Tahoma"/>
            <family val="0"/>
          </rPr>
          <t>the difference between the above two amounts, i.e., how many Mbps are being converted from international to local for each ISP in a segment participating in the IXP</t>
        </r>
      </text>
    </comment>
    <comment ref="A30" authorId="0">
      <text>
        <r>
          <rPr>
            <b/>
            <sz val="8"/>
            <rFont val="Tahoma"/>
            <family val="0"/>
          </rPr>
          <t>the above amount for each ISP in a segment, reduced by their participation in the IXP</t>
        </r>
      </text>
    </comment>
    <comment ref="A29" authorId="0">
      <text>
        <r>
          <rPr>
            <b/>
            <sz val="8"/>
            <rFont val="Tahoma"/>
            <family val="0"/>
          </rPr>
          <t>How much local traffic is routed internationally by each ISP in a segment if the IXP did not exist</t>
        </r>
      </text>
    </comment>
    <comment ref="A27" authorId="0">
      <text>
        <r>
          <rPr>
            <b/>
            <sz val="8"/>
            <rFont val="Tahoma"/>
            <family val="0"/>
          </rPr>
          <t>how much of the total local traffic in the market the IXP is handling</t>
        </r>
      </text>
    </comment>
    <comment ref="A24" authorId="0">
      <text>
        <r>
          <rPr>
            <b/>
            <sz val="8"/>
            <rFont val="Tahoma"/>
            <family val="0"/>
          </rPr>
          <t>same as the above variable, but in Mbps, not %</t>
        </r>
      </text>
    </comment>
    <comment ref="A23" authorId="0">
      <text>
        <r>
          <rPr>
            <b/>
            <sz val="8"/>
            <rFont val="Tahoma"/>
            <family val="0"/>
          </rPr>
          <t>the balance of local traffic that could be routed to the IX if all ISP's were participating, but is not (i.e., how short of the hypothetical maximum is each ISP in a segment)</t>
        </r>
      </text>
    </comment>
    <comment ref="A22" authorId="0">
      <text>
        <r>
          <rPr>
            <b/>
            <sz val="8"/>
            <rFont val="Tahoma"/>
            <family val="0"/>
          </rPr>
          <t>same as above variable, but in Mbps, not %</t>
        </r>
      </text>
    </comment>
    <comment ref="A21" authorId="0">
      <text>
        <r>
          <rPr>
            <b/>
            <sz val="8"/>
            <rFont val="Tahoma"/>
            <family val="0"/>
          </rPr>
          <t>the above two %'s added together</t>
        </r>
      </text>
    </comment>
    <comment ref="A20" authorId="0">
      <text>
        <r>
          <rPr>
            <b/>
            <sz val="8"/>
            <rFont val="Tahoma"/>
            <family val="0"/>
          </rPr>
          <t>same as the variable above, but in Mbps not %</t>
        </r>
      </text>
    </comment>
    <comment ref="A19" authorId="0">
      <text>
        <r>
          <rPr>
            <b/>
            <sz val="8"/>
            <rFont val="Tahoma"/>
            <family val="0"/>
          </rPr>
          <t>same % as the earlier variable ('estimated internally routed traffic') shown here agan for comparison to the numbers above and below.</t>
        </r>
      </text>
    </comment>
    <comment ref="A18" authorId="0">
      <text>
        <r>
          <rPr>
            <b/>
            <sz val="8"/>
            <rFont val="Tahoma"/>
            <family val="0"/>
          </rPr>
          <t>same as the variable above, but in Mbps, not %</t>
        </r>
      </text>
    </comment>
    <comment ref="A17" authorId="0">
      <text>
        <r>
          <rPr>
            <b/>
            <sz val="8"/>
            <rFont val="Tahoma"/>
            <family val="0"/>
          </rPr>
          <t>How close to the hypothetical maximum is each ISP in a segment given the configuration of this scenario. The more ISP's participate in any segment, the higher this number will go.</t>
        </r>
      </text>
    </comment>
    <comment ref="A14" authorId="0">
      <text>
        <r>
          <rPr>
            <b/>
            <sz val="8"/>
            <rFont val="Tahoma"/>
            <family val="0"/>
          </rPr>
          <t>What % of the local traffic that could be peered by the ISP's in a segment is being peered</t>
        </r>
      </text>
    </comment>
    <comment ref="A13" authorId="0">
      <text>
        <r>
          <rPr>
            <b/>
            <sz val="8"/>
            <rFont val="Tahoma"/>
            <family val="0"/>
          </rPr>
          <t>what % of the ISP's in a segment choose to participate in the IXP</t>
        </r>
      </text>
    </comment>
    <comment ref="A12" authorId="0">
      <text>
        <r>
          <rPr>
            <b/>
            <sz val="8"/>
            <rFont val="Tahoma"/>
            <family val="0"/>
          </rPr>
          <t># of ISP's in each segment who choose to participate in the IXP in this scenario</t>
        </r>
      </text>
    </comment>
    <comment ref="A10"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 ref="A9" authorId="0">
      <text>
        <r>
          <rPr>
            <b/>
            <sz val="8"/>
            <rFont val="Tahoma"/>
            <family val="0"/>
          </rPr>
          <t>what % of the ISP's local traffic is estimated to be between their own customers, i.e., traffic that is routed internally, within the ISP's own network. This traffic doesn't go internationally now, and would not go through an IXP in the future either.</t>
        </r>
      </text>
    </comment>
    <comment ref="A8" authorId="0">
      <text>
        <r>
          <rPr>
            <b/>
            <sz val="8"/>
            <rFont val="Tahoma"/>
            <family val="0"/>
          </rPr>
          <t>% each ISP in this category has of the total local traffic</t>
        </r>
      </text>
    </comment>
    <comment ref="A5" authorId="0">
      <text>
        <r>
          <rPr>
            <b/>
            <sz val="8"/>
            <rFont val="Tahoma"/>
            <family val="0"/>
          </rPr>
          <t>shows how much of the size (Mbps) is local traffic. Calculated using the % local traffic variable, set in the ISP Models worksheet and can be changed as a global variable or for each ISP segment independently.</t>
        </r>
      </text>
    </comment>
    <comment ref="A4" authorId="0">
      <text>
        <r>
          <rPr>
            <b/>
            <sz val="8"/>
            <rFont val="Tahoma"/>
            <family val="0"/>
          </rPr>
          <t>How many ISP's are there in each given size segment? Many will have '0'</t>
        </r>
      </text>
    </comment>
    <comment ref="A2" authorId="0">
      <text>
        <r>
          <rPr>
            <b/>
            <sz val="8"/>
            <rFont val="Tahoma"/>
            <family val="0"/>
          </rPr>
          <t>this is for reference to help remember what the sizes are for each segment. Change this on the ISP Models worksheet if appropriate.</t>
        </r>
      </text>
    </comment>
  </commentList>
</comments>
</file>

<file path=xl/comments5.xml><?xml version="1.0" encoding="utf-8"?>
<comments xmlns="http://schemas.openxmlformats.org/spreadsheetml/2006/main">
  <authors>
    <author>becky rogers ackermann</author>
  </authors>
  <commentList>
    <comment ref="A8" authorId="0">
      <text>
        <r>
          <rPr>
            <b/>
            <sz val="8"/>
            <rFont val="Tahoma"/>
            <family val="0"/>
          </rPr>
          <t>transit cost  (internet access) + point to point cost (from your city to wherever you're going to connect to the internet)</t>
        </r>
      </text>
    </comment>
    <comment ref="A13" authorId="0">
      <text>
        <r>
          <rPr>
            <b/>
            <sz val="8"/>
            <rFont val="Tahoma"/>
            <family val="0"/>
          </rPr>
          <t>traffic that originates or is destined within the same country (but not the same network)</t>
        </r>
      </text>
    </comment>
    <comment ref="A17" authorId="0">
      <text>
        <r>
          <rPr>
            <b/>
            <sz val="8"/>
            <rFont val="Tahoma"/>
            <family val="0"/>
          </rPr>
          <t>cost of share of operating peering point + cost to connect your network to that peering point</t>
        </r>
      </text>
    </comment>
  </commentList>
</comments>
</file>

<file path=xl/sharedStrings.xml><?xml version="1.0" encoding="utf-8"?>
<sst xmlns="http://schemas.openxmlformats.org/spreadsheetml/2006/main" count="255" uniqueCount="91">
  <si>
    <t>net savings (loss) due to peering</t>
  </si>
  <si>
    <t>Mbps own local traffic being peered</t>
  </si>
  <si>
    <t>Mbps internally routed traffic</t>
  </si>
  <si>
    <t>subtotal, Mbps local traffic routed locally</t>
  </si>
  <si>
    <t>Mbps local traffic routed internationally (or otherwise)</t>
  </si>
  <si>
    <t>bandwidth costs due to peering, /year /segment</t>
  </si>
  <si>
    <t>peering participation cost /year /segment</t>
  </si>
  <si>
    <t>Mbps converted int'l to local, per ISP</t>
  </si>
  <si>
    <t>Mbps converted int'l to local /segment</t>
  </si>
  <si>
    <t># of bandwidth increments required locally</t>
  </si>
  <si>
    <t>Mbps local bandwidth acquired</t>
  </si>
  <si>
    <t>excess capacity, Mbps</t>
  </si>
  <si>
    <t>Scenario C</t>
  </si>
  <si>
    <t>Scenario D</t>
  </si>
  <si>
    <t>% local traffic</t>
  </si>
  <si>
    <t>MEDIUM</t>
  </si>
  <si>
    <t>SMALL</t>
  </si>
  <si>
    <t>M1</t>
  </si>
  <si>
    <t>M2</t>
  </si>
  <si>
    <t>M3</t>
  </si>
  <si>
    <t>S1</t>
  </si>
  <si>
    <t>S2</t>
  </si>
  <si>
    <t>S3</t>
  </si>
  <si>
    <t>S4</t>
  </si>
  <si>
    <t>MY ISP</t>
  </si>
  <si>
    <t>ISP</t>
  </si>
  <si>
    <t>today</t>
  </si>
  <si>
    <t>Bandwidth reference</t>
  </si>
  <si>
    <t>POTS</t>
  </si>
  <si>
    <t>ISDN</t>
  </si>
  <si>
    <t>Satellite/Wireless</t>
  </si>
  <si>
    <t>T1</t>
  </si>
  <si>
    <t>E1</t>
  </si>
  <si>
    <t>T2</t>
  </si>
  <si>
    <t>IDSL</t>
  </si>
  <si>
    <t>T3</t>
  </si>
  <si>
    <t>FDDI</t>
  </si>
  <si>
    <t>OC3</t>
  </si>
  <si>
    <t>OC24</t>
  </si>
  <si>
    <t>Mbps</t>
  </si>
  <si>
    <t>avg. cost per month ($/Mbps)</t>
  </si>
  <si>
    <t>total cost per year</t>
  </si>
  <si>
    <t>total cost per month</t>
  </si>
  <si>
    <t>local traffic cost per year</t>
  </si>
  <si>
    <t>local bandwidth per year</t>
  </si>
  <si>
    <t xml:space="preserve">ISP Type: </t>
  </si>
  <si>
    <t xml:space="preserve">Reference code: </t>
  </si>
  <si>
    <t>bandwidth  (Mbps)</t>
  </si>
  <si>
    <t>local point-to-point cost per month ($/Mbps)</t>
  </si>
  <si>
    <t>LARGE</t>
  </si>
  <si>
    <t>L1</t>
  </si>
  <si>
    <t>L2</t>
  </si>
  <si>
    <t>L3</t>
  </si>
  <si>
    <t>ISP MODELS</t>
  </si>
  <si>
    <t>Scenario A</t>
  </si>
  <si>
    <t># of each</t>
  </si>
  <si>
    <t>local point-to-point cost per year</t>
  </si>
  <si>
    <t>size (Mbps capacity)</t>
  </si>
  <si>
    <t>My ISP</t>
  </si>
  <si>
    <t>Market Total</t>
  </si>
  <si>
    <t>Scenario B</t>
  </si>
  <si>
    <t># peering</t>
  </si>
  <si>
    <t>% peering</t>
  </si>
  <si>
    <t>% own local traffic being peered</t>
  </si>
  <si>
    <t>peering strength of market</t>
  </si>
  <si>
    <t>Per ISP in Market:</t>
  </si>
  <si>
    <t>%  bandwidth</t>
  </si>
  <si>
    <t xml:space="preserve"> % own local traffic to peer</t>
  </si>
  <si>
    <t>estimated internally routed traffic</t>
  </si>
  <si>
    <t>Per ISP Peering:</t>
  </si>
  <si>
    <t>peered traffic as % of total local bandwidth in market</t>
  </si>
  <si>
    <t>% internally routed traffic</t>
  </si>
  <si>
    <t>subtotal, % local traffic routed locally</t>
  </si>
  <si>
    <t>Peering Analysis:</t>
  </si>
  <si>
    <t>local traffic routed internationally, w/ peering, Mbps</t>
  </si>
  <si>
    <t>local traffic routed internationally, no peering, Mbps</t>
  </si>
  <si>
    <t>market segment relative local bandwidth 'strength'</t>
  </si>
  <si>
    <t>% local traffic routed internationally (or otherwise)</t>
  </si>
  <si>
    <t>segment 'strength' from peering</t>
  </si>
  <si>
    <t>as % of total bandwidth per ISP</t>
  </si>
  <si>
    <t>savings due to peering, /year, /segment</t>
  </si>
  <si>
    <t>annual savings due to peering in this scenario</t>
  </si>
  <si>
    <t>bandwidth savings due to peering, per year per ISP</t>
  </si>
  <si>
    <t>bandwidth costs due to peering, per year, per ISP</t>
  </si>
  <si>
    <t>peering participation cost per year per ISP</t>
  </si>
  <si>
    <t>Cost of international bandwidth ($/Mbps/month)</t>
  </si>
  <si>
    <t>Cost of local bandwidth ($/Mbps/month)</t>
  </si>
  <si>
    <t>standard local bandwidth increment (Mbps)</t>
  </si>
  <si>
    <t>Global variables:</t>
  </si>
  <si>
    <t>Average % of traffic that is local</t>
  </si>
  <si>
    <t>Fee to participate in peering, per ISP per year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</si>
</sst>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0.0000"/>
    <numFmt numFmtId="173" formatCode="0.000"/>
    <numFmt numFmtId="174" formatCode="_(* #,##0.0_);_(* \(#,##0.0\);_(* &quot;-&quot;??_);_(@_)"/>
    <numFmt numFmtId="175" formatCode="_(* #,##0_);_(* \(#,##0\);_(* &quot;-&quot;??_);_(@_)"/>
    <numFmt numFmtId="176" formatCode="_(&quot;$&quot;* #,##0.0_);_(&quot;$&quot;* \(#,##0.0\);_(&quot;$&quot;* &quot;-&quot;??_);_(@_)"/>
    <numFmt numFmtId="177" formatCode="_(&quot;$&quot;* #,##0_);_(&quot;$&quot;* \(#,##0\);_(&quot;$&quot;* &quot;-&quot;??_);_(@_)"/>
    <numFmt numFmtId="178" formatCode="0.0%"/>
    <numFmt numFmtId="179" formatCode="0.000%"/>
    <numFmt numFmtId="180" formatCode="_(* #,##0.000_);_(* \(#,##0.000\);_(* &quot;-&quot;???_);_(@_)"/>
    <numFmt numFmtId="181" formatCode="_(* #,##0.000_);_(* \(#,##0.000\);_(* &quot;-&quot;??_);_(@_)"/>
    <numFmt numFmtId="182" formatCode="_(* #,##0.0000_);_(* \(#,##0.0000\);_(* &quot;-&quot;??_);_(@_)"/>
  </numFmts>
  <fonts count="22">
    <font>
      <sz val="10"/>
      <name val="Arial"/>
      <family val="0"/>
    </font>
    <font>
      <sz val="8"/>
      <name val="Arial"/>
      <family val="0"/>
    </font>
    <font>
      <b/>
      <sz val="8"/>
      <name val="Tahoma"/>
      <family val="0"/>
    </font>
    <font>
      <b/>
      <sz val="8"/>
      <color indexed="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double"/>
    </border>
    <border>
      <left>
        <color indexed="63"/>
      </left>
      <right>
        <color indexed="63"/>
      </right>
      <top>
        <color indexed="63"/>
      </top>
      <bottom style="double"/>
    </border>
    <border>
      <left style="medium"/>
      <right>
        <color indexed="63"/>
      </right>
      <top>
        <color indexed="63"/>
      </top>
      <bottom>
        <color indexed="63"/>
      </bottom>
    </border>
    <border>
      <left>
        <color indexed="63"/>
      </left>
      <right style="thin"/>
      <top>
        <color indexed="63"/>
      </top>
      <bottom style="double"/>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78">
    <xf numFmtId="0" fontId="0" fillId="0" borderId="0" xfId="0" applyAlignment="1">
      <alignment/>
    </xf>
    <xf numFmtId="173" fontId="0" fillId="0" borderId="0" xfId="0" applyNumberFormat="1" applyAlignment="1">
      <alignment/>
    </xf>
    <xf numFmtId="0" fontId="3" fillId="24" borderId="0" xfId="0" applyFont="1" applyFill="1" applyAlignment="1">
      <alignment/>
    </xf>
    <xf numFmtId="0" fontId="1" fillId="0" borderId="0" xfId="0" applyFont="1" applyAlignment="1">
      <alignment/>
    </xf>
    <xf numFmtId="0" fontId="1" fillId="10" borderId="10" xfId="0" applyFont="1" applyFill="1" applyBorder="1" applyAlignment="1">
      <alignment/>
    </xf>
    <xf numFmtId="0" fontId="1" fillId="25" borderId="0" xfId="0" applyFont="1" applyFill="1" applyAlignment="1">
      <alignment/>
    </xf>
    <xf numFmtId="0" fontId="1" fillId="7" borderId="0" xfId="0" applyFont="1" applyFill="1" applyAlignment="1">
      <alignment/>
    </xf>
    <xf numFmtId="0" fontId="1" fillId="26" borderId="0" xfId="0" applyFont="1" applyFill="1" applyAlignment="1">
      <alignment/>
    </xf>
    <xf numFmtId="0" fontId="1" fillId="20" borderId="11" xfId="0" applyFont="1" applyFill="1" applyBorder="1" applyAlignment="1">
      <alignment/>
    </xf>
    <xf numFmtId="0" fontId="1" fillId="0" borderId="0" xfId="0" applyFont="1" applyAlignment="1">
      <alignment horizontal="left"/>
    </xf>
    <xf numFmtId="0" fontId="1" fillId="0" borderId="12" xfId="0" applyFont="1" applyBorder="1" applyAlignment="1">
      <alignment/>
    </xf>
    <xf numFmtId="175" fontId="1" fillId="0" borderId="0" xfId="42" applyNumberFormat="1" applyFont="1" applyAlignment="1">
      <alignment/>
    </xf>
    <xf numFmtId="0" fontId="1" fillId="0" borderId="11" xfId="0" applyFont="1" applyBorder="1" applyAlignment="1">
      <alignment/>
    </xf>
    <xf numFmtId="0" fontId="1" fillId="4" borderId="12" xfId="0" applyFont="1" applyFill="1" applyBorder="1" applyAlignment="1">
      <alignment/>
    </xf>
    <xf numFmtId="0" fontId="1" fillId="4" borderId="0" xfId="0" applyFont="1" applyFill="1" applyAlignment="1">
      <alignment/>
    </xf>
    <xf numFmtId="175" fontId="1" fillId="0" borderId="12" xfId="42" applyNumberFormat="1" applyFont="1" applyFill="1" applyBorder="1" applyAlignment="1">
      <alignment/>
    </xf>
    <xf numFmtId="175" fontId="1" fillId="0" borderId="0" xfId="42" applyNumberFormat="1" applyFont="1" applyFill="1" applyBorder="1" applyAlignment="1">
      <alignment/>
    </xf>
    <xf numFmtId="175" fontId="1" fillId="0" borderId="11" xfId="0" applyNumberFormat="1" applyFont="1" applyBorder="1" applyAlignment="1">
      <alignment/>
    </xf>
    <xf numFmtId="0" fontId="1" fillId="0" borderId="0" xfId="0" applyFont="1" applyAlignment="1">
      <alignment horizontal="left" indent="1"/>
    </xf>
    <xf numFmtId="179" fontId="1" fillId="0" borderId="12" xfId="57" applyNumberFormat="1" applyFont="1" applyFill="1" applyBorder="1" applyAlignment="1">
      <alignment/>
    </xf>
    <xf numFmtId="179" fontId="1" fillId="0" borderId="0" xfId="57" applyNumberFormat="1" applyFont="1" applyFill="1" applyBorder="1" applyAlignment="1">
      <alignment/>
    </xf>
    <xf numFmtId="0" fontId="1" fillId="0" borderId="12" xfId="0" applyFont="1" applyFill="1" applyBorder="1" applyAlignment="1">
      <alignment/>
    </xf>
    <xf numFmtId="0" fontId="1" fillId="0" borderId="0" xfId="0" applyFont="1" applyFill="1" applyBorder="1" applyAlignment="1">
      <alignment/>
    </xf>
    <xf numFmtId="9" fontId="1" fillId="0" borderId="12" xfId="57" applyFont="1" applyBorder="1" applyAlignment="1">
      <alignment/>
    </xf>
    <xf numFmtId="9" fontId="1" fillId="0" borderId="0" xfId="57" applyFont="1" applyAlignment="1">
      <alignment/>
    </xf>
    <xf numFmtId="43" fontId="1" fillId="0" borderId="12" xfId="42" applyNumberFormat="1" applyFont="1" applyBorder="1" applyAlignment="1">
      <alignment/>
    </xf>
    <xf numFmtId="43" fontId="1" fillId="0" borderId="0" xfId="42" applyNumberFormat="1" applyFont="1" applyAlignment="1">
      <alignment/>
    </xf>
    <xf numFmtId="179" fontId="1" fillId="0" borderId="12" xfId="57" applyNumberFormat="1" applyFont="1" applyBorder="1" applyAlignment="1">
      <alignment/>
    </xf>
    <xf numFmtId="179" fontId="1" fillId="0" borderId="0" xfId="57" applyNumberFormat="1" applyFont="1" applyAlignment="1">
      <alignment/>
    </xf>
    <xf numFmtId="179" fontId="1" fillId="0" borderId="0" xfId="57" applyNumberFormat="1" applyFont="1" applyBorder="1" applyAlignment="1">
      <alignment/>
    </xf>
    <xf numFmtId="43" fontId="1" fillId="0" borderId="12" xfId="42" applyFont="1" applyBorder="1" applyAlignment="1">
      <alignment/>
    </xf>
    <xf numFmtId="43" fontId="1" fillId="0" borderId="0" xfId="42" applyFont="1" applyBorder="1" applyAlignment="1">
      <alignment/>
    </xf>
    <xf numFmtId="43" fontId="1" fillId="0" borderId="13" xfId="42" applyFont="1" applyBorder="1" applyAlignment="1">
      <alignment/>
    </xf>
    <xf numFmtId="43" fontId="1" fillId="0" borderId="14" xfId="42" applyFont="1" applyBorder="1" applyAlignment="1">
      <alignment/>
    </xf>
    <xf numFmtId="10" fontId="1" fillId="0" borderId="12" xfId="57" applyNumberFormat="1" applyFont="1" applyBorder="1" applyAlignment="1">
      <alignment/>
    </xf>
    <xf numFmtId="10" fontId="1" fillId="0" borderId="0" xfId="57" applyNumberFormat="1" applyFont="1" applyAlignment="1">
      <alignment/>
    </xf>
    <xf numFmtId="177" fontId="1" fillId="0" borderId="12" xfId="44" applyNumberFormat="1" applyFont="1" applyBorder="1" applyAlignment="1">
      <alignment/>
    </xf>
    <xf numFmtId="177" fontId="1" fillId="0" borderId="0" xfId="44" applyNumberFormat="1" applyFont="1" applyAlignment="1">
      <alignment/>
    </xf>
    <xf numFmtId="175" fontId="1" fillId="0" borderId="12" xfId="42" applyNumberFormat="1" applyFont="1" applyBorder="1" applyAlignment="1">
      <alignment/>
    </xf>
    <xf numFmtId="175" fontId="1" fillId="0" borderId="15" xfId="42" applyNumberFormat="1" applyFont="1" applyBorder="1" applyAlignment="1">
      <alignment/>
    </xf>
    <xf numFmtId="175" fontId="1" fillId="0" borderId="0" xfId="42" applyNumberFormat="1" applyFont="1" applyBorder="1" applyAlignment="1">
      <alignment/>
    </xf>
    <xf numFmtId="181" fontId="1" fillId="0" borderId="12" xfId="42" applyNumberFormat="1" applyFont="1" applyBorder="1" applyAlignment="1">
      <alignment/>
    </xf>
    <xf numFmtId="181" fontId="1" fillId="0" borderId="15" xfId="42" applyNumberFormat="1" applyFont="1" applyBorder="1" applyAlignment="1">
      <alignment/>
    </xf>
    <xf numFmtId="181" fontId="1" fillId="0" borderId="0" xfId="42" applyNumberFormat="1" applyFont="1" applyBorder="1" applyAlignment="1">
      <alignment/>
    </xf>
    <xf numFmtId="177" fontId="1" fillId="0" borderId="15" xfId="44" applyNumberFormat="1" applyFont="1" applyBorder="1" applyAlignment="1">
      <alignment/>
    </xf>
    <xf numFmtId="177" fontId="1" fillId="0" borderId="0" xfId="44" applyNumberFormat="1" applyFont="1" applyBorder="1" applyAlignment="1">
      <alignment/>
    </xf>
    <xf numFmtId="177" fontId="1" fillId="0" borderId="13" xfId="44" applyNumberFormat="1" applyFont="1" applyBorder="1" applyAlignment="1">
      <alignment/>
    </xf>
    <xf numFmtId="177" fontId="1" fillId="0" borderId="14" xfId="44" applyNumberFormat="1" applyFont="1" applyBorder="1" applyAlignment="1">
      <alignment/>
    </xf>
    <xf numFmtId="177" fontId="1" fillId="0" borderId="16" xfId="44" applyNumberFormat="1" applyFont="1" applyBorder="1" applyAlignment="1">
      <alignment/>
    </xf>
    <xf numFmtId="177" fontId="1" fillId="0" borderId="17" xfId="44" applyNumberFormat="1" applyFont="1" applyBorder="1" applyAlignment="1">
      <alignment/>
    </xf>
    <xf numFmtId="178" fontId="1" fillId="0" borderId="0" xfId="57" applyNumberFormat="1" applyFont="1" applyAlignment="1">
      <alignment/>
    </xf>
    <xf numFmtId="177" fontId="1" fillId="0" borderId="0" xfId="0" applyNumberFormat="1" applyFont="1" applyAlignment="1">
      <alignment/>
    </xf>
    <xf numFmtId="0" fontId="4"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1" fillId="24" borderId="12" xfId="0" applyFont="1" applyFill="1" applyBorder="1" applyAlignment="1">
      <alignment/>
    </xf>
    <xf numFmtId="0" fontId="1" fillId="24" borderId="0" xfId="0" applyFont="1" applyFill="1" applyBorder="1" applyAlignment="1">
      <alignment/>
    </xf>
    <xf numFmtId="0" fontId="1" fillId="24" borderId="0" xfId="0" applyFont="1" applyFill="1" applyAlignment="1">
      <alignment/>
    </xf>
    <xf numFmtId="0" fontId="1" fillId="24" borderId="11" xfId="0" applyFont="1" applyFill="1" applyBorder="1" applyAlignment="1">
      <alignment/>
    </xf>
    <xf numFmtId="175" fontId="1" fillId="4" borderId="12" xfId="42" applyNumberFormat="1" applyFont="1" applyFill="1" applyBorder="1" applyAlignment="1">
      <alignment/>
    </xf>
    <xf numFmtId="175" fontId="1" fillId="4" borderId="0" xfId="42" applyNumberFormat="1" applyFont="1" applyFill="1" applyBorder="1" applyAlignment="1">
      <alignment/>
    </xf>
    <xf numFmtId="175" fontId="1" fillId="4" borderId="0" xfId="42" applyNumberFormat="1" applyFont="1" applyFill="1" applyAlignment="1">
      <alignment/>
    </xf>
    <xf numFmtId="175" fontId="1" fillId="4" borderId="11" xfId="42" applyNumberFormat="1" applyFont="1" applyFill="1" applyBorder="1" applyAlignment="1">
      <alignment/>
    </xf>
    <xf numFmtId="175" fontId="1" fillId="4" borderId="15" xfId="42" applyNumberFormat="1" applyFont="1" applyFill="1" applyBorder="1" applyAlignment="1">
      <alignment/>
    </xf>
    <xf numFmtId="9" fontId="1" fillId="4" borderId="12" xfId="57" applyFont="1" applyFill="1" applyBorder="1" applyAlignment="1">
      <alignment/>
    </xf>
    <xf numFmtId="9" fontId="1" fillId="4" borderId="15" xfId="57" applyFont="1" applyFill="1" applyBorder="1" applyAlignment="1">
      <alignment/>
    </xf>
    <xf numFmtId="9" fontId="1" fillId="4" borderId="0" xfId="57" applyFont="1" applyFill="1" applyBorder="1" applyAlignment="1">
      <alignment/>
    </xf>
    <xf numFmtId="177" fontId="1" fillId="0" borderId="12" xfId="44" applyNumberFormat="1" applyFont="1" applyBorder="1" applyAlignment="1">
      <alignment horizontal="left"/>
    </xf>
    <xf numFmtId="177" fontId="1" fillId="0" borderId="0" xfId="44" applyNumberFormat="1"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left" indent="1"/>
    </xf>
    <xf numFmtId="0" fontId="4" fillId="0" borderId="0" xfId="0" applyFont="1" applyAlignment="1">
      <alignment horizontal="left"/>
    </xf>
    <xf numFmtId="178" fontId="4" fillId="0" borderId="0" xfId="57" applyNumberFormat="1" applyFont="1" applyAlignment="1">
      <alignment/>
    </xf>
    <xf numFmtId="177" fontId="4" fillId="0" borderId="0" xfId="0" applyNumberFormat="1" applyFont="1" applyAlignment="1">
      <alignment/>
    </xf>
    <xf numFmtId="177" fontId="1" fillId="25" borderId="0" xfId="44" applyNumberFormat="1" applyFont="1" applyFill="1" applyBorder="1" applyAlignment="1">
      <alignment/>
    </xf>
    <xf numFmtId="177" fontId="1" fillId="25" borderId="0" xfId="44" applyNumberFormat="1" applyFont="1" applyFill="1" applyAlignment="1">
      <alignment/>
    </xf>
    <xf numFmtId="9" fontId="1" fillId="25" borderId="0" xfId="57" applyFont="1" applyFill="1" applyAlignment="1">
      <alignment/>
    </xf>
    <xf numFmtId="181" fontId="1" fillId="25" borderId="0" xfId="42"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53"/>
  <sheetViews>
    <sheetView zoomScalePageLayoutView="0" workbookViewId="0" topLeftCell="A22">
      <selection activeCell="A15" sqref="A15"/>
    </sheetView>
  </sheetViews>
  <sheetFormatPr defaultColWidth="8.8515625" defaultRowHeight="12.75"/>
  <cols>
    <col min="1" max="1" width="47.00390625" style="0" bestFit="1" customWidth="1"/>
    <col min="2" max="2" width="8.7109375" style="0" bestFit="1" customWidth="1"/>
    <col min="3" max="4" width="7.7109375" style="0" bestFit="1" customWidth="1"/>
    <col min="5" max="6" width="7.28125" style="0" bestFit="1" customWidth="1"/>
    <col min="7" max="7" width="8.28125" style="0" bestFit="1" customWidth="1"/>
    <col min="8" max="9" width="7.28125" style="0" bestFit="1" customWidth="1"/>
    <col min="10" max="10" width="8.7109375" style="0" bestFit="1" customWidth="1"/>
    <col min="11" max="11" width="7.28125" style="0" bestFit="1" customWidth="1"/>
    <col min="12" max="12" width="8.7109375" style="0" bestFit="1" customWidth="1"/>
    <col min="13" max="13" width="11.28125" style="0" bestFit="1" customWidth="1"/>
  </cols>
  <sheetData>
    <row r="1" spans="1:13" s="3" customFormat="1" ht="11.25">
      <c r="A1" s="2" t="s">
        <v>54</v>
      </c>
      <c r="B1" s="4" t="s">
        <v>58</v>
      </c>
      <c r="C1" s="5" t="s">
        <v>50</v>
      </c>
      <c r="D1" s="5" t="s">
        <v>51</v>
      </c>
      <c r="E1" s="5" t="s">
        <v>52</v>
      </c>
      <c r="F1" s="6" t="s">
        <v>17</v>
      </c>
      <c r="G1" s="6" t="s">
        <v>18</v>
      </c>
      <c r="H1" s="6" t="s">
        <v>19</v>
      </c>
      <c r="I1" s="7" t="s">
        <v>20</v>
      </c>
      <c r="J1" s="7" t="s">
        <v>21</v>
      </c>
      <c r="K1" s="7" t="s">
        <v>22</v>
      </c>
      <c r="L1" s="7" t="s">
        <v>23</v>
      </c>
      <c r="M1" s="8" t="s">
        <v>59</v>
      </c>
    </row>
    <row r="2" spans="1:13" s="3" customFormat="1" ht="11.25">
      <c r="A2" s="9" t="s">
        <v>57</v>
      </c>
      <c r="B2" s="10">
        <f>'ISP Models'!$B$7</f>
        <v>5</v>
      </c>
      <c r="C2" s="11">
        <f>'ISP Models'!$C$7</f>
        <v>50000</v>
      </c>
      <c r="D2" s="11">
        <f>'ISP Models'!$D$7</f>
        <v>10000</v>
      </c>
      <c r="E2" s="11">
        <f>'ISP Models'!$E$7</f>
        <v>2500</v>
      </c>
      <c r="F2" s="11">
        <f>'ISP Models'!$F$7</f>
        <v>1000</v>
      </c>
      <c r="G2" s="11">
        <f>'ISP Models'!$G$7</f>
        <v>500</v>
      </c>
      <c r="H2" s="11">
        <f>'ISP Models'!$H$7</f>
        <v>250</v>
      </c>
      <c r="I2" s="11">
        <f>'ISP Models'!$I$7</f>
        <v>100</v>
      </c>
      <c r="J2" s="11">
        <f>'ISP Models'!$J$7</f>
        <v>20</v>
      </c>
      <c r="K2" s="11">
        <f>'ISP Models'!$K$7</f>
        <v>5</v>
      </c>
      <c r="L2" s="11">
        <f>'ISP Models'!$L$7</f>
        <v>2</v>
      </c>
      <c r="M2" s="12"/>
    </row>
    <row r="3" spans="1:13" s="3" customFormat="1" ht="11.25">
      <c r="A3" s="9"/>
      <c r="B3" s="10"/>
      <c r="M3" s="12"/>
    </row>
    <row r="4" spans="1:13" s="3" customFormat="1" ht="11.25">
      <c r="A4" s="9" t="s">
        <v>55</v>
      </c>
      <c r="B4" s="13">
        <v>1</v>
      </c>
      <c r="C4" s="14">
        <v>0</v>
      </c>
      <c r="D4" s="14">
        <v>0</v>
      </c>
      <c r="E4" s="14">
        <v>0</v>
      </c>
      <c r="F4" s="14">
        <v>0</v>
      </c>
      <c r="G4" s="14">
        <v>1</v>
      </c>
      <c r="H4" s="14">
        <v>0</v>
      </c>
      <c r="I4" s="14">
        <v>0</v>
      </c>
      <c r="J4" s="14">
        <v>1</v>
      </c>
      <c r="K4" s="14">
        <v>0</v>
      </c>
      <c r="L4" s="14">
        <v>4</v>
      </c>
      <c r="M4" s="12"/>
    </row>
    <row r="5" spans="1:13" s="3" customFormat="1" ht="11.25">
      <c r="A5" s="9" t="s">
        <v>76</v>
      </c>
      <c r="B5" s="15">
        <f>B4*B2*'ISP Models'!B$13</f>
        <v>1.5</v>
      </c>
      <c r="C5" s="16">
        <f>C4*C2*'ISP Models'!C$13</f>
        <v>0</v>
      </c>
      <c r="D5" s="16">
        <f>D4*D2*'ISP Models'!D$13</f>
        <v>0</v>
      </c>
      <c r="E5" s="16">
        <f>E4*E2*'ISP Models'!E$13</f>
        <v>0</v>
      </c>
      <c r="F5" s="16">
        <f>F4*F2*'ISP Models'!F$13</f>
        <v>0</v>
      </c>
      <c r="G5" s="16">
        <f>G4*G2*'ISP Models'!G$13</f>
        <v>150</v>
      </c>
      <c r="H5" s="16">
        <f>H4*H2*'ISP Models'!H$13</f>
        <v>0</v>
      </c>
      <c r="I5" s="16">
        <f>I4*I2*'ISP Models'!I$13</f>
        <v>0</v>
      </c>
      <c r="J5" s="16">
        <f>J4*J2*'ISP Models'!J$13</f>
        <v>6</v>
      </c>
      <c r="K5" s="16">
        <f>K4*K2*'ISP Models'!K$13</f>
        <v>0</v>
      </c>
      <c r="L5" s="16">
        <f>L4*L2*'ISP Models'!L$13</f>
        <v>2.4</v>
      </c>
      <c r="M5" s="17">
        <f>SUM(B5:L5)</f>
        <v>159.9</v>
      </c>
    </row>
    <row r="6" spans="1:13" s="3" customFormat="1" ht="11.25">
      <c r="A6" s="9"/>
      <c r="B6" s="15"/>
      <c r="C6" s="16"/>
      <c r="D6" s="16"/>
      <c r="E6" s="16"/>
      <c r="F6" s="16"/>
      <c r="G6" s="16"/>
      <c r="H6" s="16"/>
      <c r="I6" s="16"/>
      <c r="J6" s="16"/>
      <c r="K6" s="16"/>
      <c r="L6" s="16"/>
      <c r="M6" s="17"/>
    </row>
    <row r="7" spans="1:13" s="3" customFormat="1" ht="11.25">
      <c r="A7" s="71" t="s">
        <v>65</v>
      </c>
      <c r="B7" s="15"/>
      <c r="C7" s="16"/>
      <c r="D7" s="16"/>
      <c r="E7" s="16"/>
      <c r="F7" s="16"/>
      <c r="G7" s="16"/>
      <c r="H7" s="16"/>
      <c r="I7" s="16"/>
      <c r="J7" s="16"/>
      <c r="K7" s="16"/>
      <c r="L7" s="16"/>
      <c r="M7" s="17"/>
    </row>
    <row r="8" spans="1:13" s="3" customFormat="1" ht="11.25">
      <c r="A8" s="18" t="s">
        <v>66</v>
      </c>
      <c r="B8" s="19">
        <f aca="true" t="shared" si="0" ref="B8:L8">IF(B4&gt;0,B5/SUM($B$5:$L$5)/B4,0)</f>
        <v>0.009380863039399624</v>
      </c>
      <c r="C8" s="20">
        <f t="shared" si="0"/>
        <v>0</v>
      </c>
      <c r="D8" s="20">
        <f t="shared" si="0"/>
        <v>0</v>
      </c>
      <c r="E8" s="20">
        <f t="shared" si="0"/>
        <v>0</v>
      </c>
      <c r="F8" s="20">
        <f t="shared" si="0"/>
        <v>0</v>
      </c>
      <c r="G8" s="20">
        <f t="shared" si="0"/>
        <v>0.9380863039399624</v>
      </c>
      <c r="H8" s="20">
        <f t="shared" si="0"/>
        <v>0</v>
      </c>
      <c r="I8" s="20">
        <f t="shared" si="0"/>
        <v>0</v>
      </c>
      <c r="J8" s="20">
        <f t="shared" si="0"/>
        <v>0.037523452157598496</v>
      </c>
      <c r="K8" s="20">
        <f t="shared" si="0"/>
        <v>0</v>
      </c>
      <c r="L8" s="20">
        <f t="shared" si="0"/>
        <v>0.0037523452157598495</v>
      </c>
      <c r="M8" s="12"/>
    </row>
    <row r="9" spans="1:13" s="3" customFormat="1" ht="11.25">
      <c r="A9" s="18" t="s">
        <v>68</v>
      </c>
      <c r="B9" s="19">
        <f aca="true" t="shared" si="1" ref="B9:L9">B8</f>
        <v>0.009380863039399624</v>
      </c>
      <c r="C9" s="20">
        <f t="shared" si="1"/>
        <v>0</v>
      </c>
      <c r="D9" s="20">
        <f t="shared" si="1"/>
        <v>0</v>
      </c>
      <c r="E9" s="20">
        <f t="shared" si="1"/>
        <v>0</v>
      </c>
      <c r="F9" s="20">
        <f t="shared" si="1"/>
        <v>0</v>
      </c>
      <c r="G9" s="20">
        <f t="shared" si="1"/>
        <v>0.9380863039399624</v>
      </c>
      <c r="H9" s="20">
        <f t="shared" si="1"/>
        <v>0</v>
      </c>
      <c r="I9" s="20">
        <f t="shared" si="1"/>
        <v>0</v>
      </c>
      <c r="J9" s="20">
        <f t="shared" si="1"/>
        <v>0.037523452157598496</v>
      </c>
      <c r="K9" s="20">
        <f t="shared" si="1"/>
        <v>0</v>
      </c>
      <c r="L9" s="20">
        <f t="shared" si="1"/>
        <v>0.0037523452157598495</v>
      </c>
      <c r="M9" s="12"/>
    </row>
    <row r="10" spans="1:13" s="3" customFormat="1" ht="11.25">
      <c r="A10" s="18" t="s">
        <v>67</v>
      </c>
      <c r="B10" s="19">
        <f aca="true" t="shared" si="2" ref="B10:L10">IF(B4&gt;0,100%-B8,0)</f>
        <v>0.9906191369606003</v>
      </c>
      <c r="C10" s="20">
        <f t="shared" si="2"/>
        <v>0</v>
      </c>
      <c r="D10" s="20">
        <f t="shared" si="2"/>
        <v>0</v>
      </c>
      <c r="E10" s="20">
        <f t="shared" si="2"/>
        <v>0</v>
      </c>
      <c r="F10" s="20">
        <f t="shared" si="2"/>
        <v>0</v>
      </c>
      <c r="G10" s="20">
        <f t="shared" si="2"/>
        <v>0.061913696060037604</v>
      </c>
      <c r="H10" s="20">
        <f t="shared" si="2"/>
        <v>0</v>
      </c>
      <c r="I10" s="20">
        <f t="shared" si="2"/>
        <v>0</v>
      </c>
      <c r="J10" s="20">
        <f t="shared" si="2"/>
        <v>0.9624765478424016</v>
      </c>
      <c r="K10" s="20">
        <f t="shared" si="2"/>
        <v>0</v>
      </c>
      <c r="L10" s="20">
        <f t="shared" si="2"/>
        <v>0.9962476547842402</v>
      </c>
      <c r="M10" s="12"/>
    </row>
    <row r="11" spans="1:13" s="3" customFormat="1" ht="11.25">
      <c r="A11" s="9"/>
      <c r="B11" s="21">
        <f aca="true" t="shared" si="3" ref="B11:L11">IF(B12&gt;B4,"ERROR","")</f>
      </c>
      <c r="C11" s="22">
        <f t="shared" si="3"/>
      </c>
      <c r="D11" s="22">
        <f t="shared" si="3"/>
      </c>
      <c r="E11" s="22">
        <f t="shared" si="3"/>
      </c>
      <c r="F11" s="22">
        <f t="shared" si="3"/>
      </c>
      <c r="G11" s="22">
        <f t="shared" si="3"/>
      </c>
      <c r="H11" s="22">
        <f t="shared" si="3"/>
      </c>
      <c r="I11" s="22">
        <f t="shared" si="3"/>
      </c>
      <c r="J11" s="22">
        <f t="shared" si="3"/>
      </c>
      <c r="K11" s="22">
        <f t="shared" si="3"/>
      </c>
      <c r="L11" s="22">
        <f t="shared" si="3"/>
      </c>
      <c r="M11" s="12"/>
    </row>
    <row r="12" spans="1:13" s="3" customFormat="1" ht="11.25">
      <c r="A12" s="3" t="s">
        <v>61</v>
      </c>
      <c r="B12" s="13">
        <v>1</v>
      </c>
      <c r="C12" s="14">
        <v>0</v>
      </c>
      <c r="D12" s="14">
        <v>0</v>
      </c>
      <c r="E12" s="14">
        <v>0</v>
      </c>
      <c r="F12" s="14">
        <v>0</v>
      </c>
      <c r="G12" s="14">
        <v>0</v>
      </c>
      <c r="H12" s="14">
        <v>0</v>
      </c>
      <c r="I12" s="14">
        <v>0</v>
      </c>
      <c r="J12" s="14">
        <v>1</v>
      </c>
      <c r="K12" s="14">
        <v>0</v>
      </c>
      <c r="L12" s="14">
        <v>3</v>
      </c>
      <c r="M12" s="12"/>
    </row>
    <row r="13" spans="1:13" s="3" customFormat="1" ht="11.25">
      <c r="A13" s="9" t="s">
        <v>62</v>
      </c>
      <c r="B13" s="23">
        <f aca="true" t="shared" si="4" ref="B13:L13">IF(ISERR(B12/B4),0,B12/B4)</f>
        <v>1</v>
      </c>
      <c r="C13" s="24">
        <f t="shared" si="4"/>
        <v>0</v>
      </c>
      <c r="D13" s="24">
        <f t="shared" si="4"/>
        <v>0</v>
      </c>
      <c r="E13" s="24">
        <f t="shared" si="4"/>
        <v>0</v>
      </c>
      <c r="F13" s="24">
        <f t="shared" si="4"/>
        <v>0</v>
      </c>
      <c r="G13" s="24">
        <f t="shared" si="4"/>
        <v>0</v>
      </c>
      <c r="H13" s="24">
        <f t="shared" si="4"/>
        <v>0</v>
      </c>
      <c r="I13" s="24">
        <f t="shared" si="4"/>
        <v>0</v>
      </c>
      <c r="J13" s="24">
        <f t="shared" si="4"/>
        <v>1</v>
      </c>
      <c r="K13" s="24">
        <f t="shared" si="4"/>
        <v>0</v>
      </c>
      <c r="L13" s="24">
        <f t="shared" si="4"/>
        <v>0.75</v>
      </c>
      <c r="M13" s="12"/>
    </row>
    <row r="14" spans="1:13" s="3" customFormat="1" ht="11.25">
      <c r="A14" s="9" t="s">
        <v>78</v>
      </c>
      <c r="B14" s="25">
        <f aca="true" t="shared" si="5" ref="B14:L14">B13*B5*B10</f>
        <v>1.4859287054409005</v>
      </c>
      <c r="C14" s="26">
        <f t="shared" si="5"/>
        <v>0</v>
      </c>
      <c r="D14" s="26">
        <f t="shared" si="5"/>
        <v>0</v>
      </c>
      <c r="E14" s="26">
        <f t="shared" si="5"/>
        <v>0</v>
      </c>
      <c r="F14" s="26">
        <f t="shared" si="5"/>
        <v>0</v>
      </c>
      <c r="G14" s="26">
        <f t="shared" si="5"/>
        <v>0</v>
      </c>
      <c r="H14" s="26">
        <f t="shared" si="5"/>
        <v>0</v>
      </c>
      <c r="I14" s="26">
        <f t="shared" si="5"/>
        <v>0</v>
      </c>
      <c r="J14" s="26">
        <f t="shared" si="5"/>
        <v>5.77485928705441</v>
      </c>
      <c r="K14" s="26">
        <f t="shared" si="5"/>
        <v>0</v>
      </c>
      <c r="L14" s="26">
        <f t="shared" si="5"/>
        <v>1.793245778611632</v>
      </c>
      <c r="M14" s="17">
        <f>SUM(B14:L14)</f>
        <v>9.054033771106942</v>
      </c>
    </row>
    <row r="15" spans="1:13" s="3" customFormat="1" ht="11.25">
      <c r="A15" s="9"/>
      <c r="B15" s="27"/>
      <c r="C15" s="28"/>
      <c r="D15" s="28"/>
      <c r="E15" s="28"/>
      <c r="F15" s="28"/>
      <c r="G15" s="28"/>
      <c r="H15" s="28"/>
      <c r="I15" s="28"/>
      <c r="J15" s="28"/>
      <c r="K15" s="28"/>
      <c r="L15" s="28"/>
      <c r="M15" s="12"/>
    </row>
    <row r="16" spans="1:13" s="3" customFormat="1" ht="11.25">
      <c r="A16" s="71" t="s">
        <v>69</v>
      </c>
      <c r="B16" s="27"/>
      <c r="C16" s="28"/>
      <c r="D16" s="29"/>
      <c r="E16" s="29"/>
      <c r="F16" s="29"/>
      <c r="G16" s="29"/>
      <c r="H16" s="29"/>
      <c r="I16" s="29"/>
      <c r="J16" s="29"/>
      <c r="K16" s="29"/>
      <c r="L16" s="29"/>
      <c r="M16" s="12"/>
    </row>
    <row r="17" spans="1:13" s="3" customFormat="1" ht="11.25">
      <c r="A17" s="18" t="s">
        <v>63</v>
      </c>
      <c r="B17" s="27">
        <f aca="true" t="shared" si="6" ref="B17:L17">IF(B12&gt;0,B10*$B$51,0)</f>
        <v>0.05609192695651087</v>
      </c>
      <c r="C17" s="29">
        <f t="shared" si="6"/>
        <v>0</v>
      </c>
      <c r="D17" s="29">
        <f t="shared" si="6"/>
        <v>0</v>
      </c>
      <c r="E17" s="29">
        <f t="shared" si="6"/>
        <v>0</v>
      </c>
      <c r="F17" s="29">
        <f t="shared" si="6"/>
        <v>0</v>
      </c>
      <c r="G17" s="29">
        <f t="shared" si="6"/>
        <v>0</v>
      </c>
      <c r="H17" s="29">
        <f t="shared" si="6"/>
        <v>0</v>
      </c>
      <c r="I17" s="29">
        <f t="shared" si="6"/>
        <v>0</v>
      </c>
      <c r="J17" s="29">
        <f t="shared" si="6"/>
        <v>0.05449840630433727</v>
      </c>
      <c r="K17" s="29">
        <f t="shared" si="6"/>
        <v>0</v>
      </c>
      <c r="L17" s="29">
        <f t="shared" si="6"/>
        <v>0.05641063108694559</v>
      </c>
      <c r="M17" s="12"/>
    </row>
    <row r="18" spans="1:13" s="3" customFormat="1" ht="11.25">
      <c r="A18" s="18" t="s">
        <v>1</v>
      </c>
      <c r="B18" s="30">
        <f aca="true" t="shared" si="7" ref="B18:L18">B17*B14</f>
        <v>0.08334860440817375</v>
      </c>
      <c r="C18" s="31">
        <f t="shared" si="7"/>
        <v>0</v>
      </c>
      <c r="D18" s="31">
        <f t="shared" si="7"/>
        <v>0</v>
      </c>
      <c r="E18" s="31">
        <f t="shared" si="7"/>
        <v>0</v>
      </c>
      <c r="F18" s="31">
        <f t="shared" si="7"/>
        <v>0</v>
      </c>
      <c r="G18" s="31">
        <f t="shared" si="7"/>
        <v>0</v>
      </c>
      <c r="H18" s="31">
        <f t="shared" si="7"/>
        <v>0</v>
      </c>
      <c r="I18" s="31">
        <f t="shared" si="7"/>
        <v>0</v>
      </c>
      <c r="J18" s="31">
        <f t="shared" si="7"/>
        <v>0.3147206277762667</v>
      </c>
      <c r="K18" s="31">
        <f t="shared" si="7"/>
        <v>0</v>
      </c>
      <c r="L18" s="31">
        <f t="shared" si="7"/>
        <v>0.10115812606548329</v>
      </c>
      <c r="M18" s="12"/>
    </row>
    <row r="19" spans="1:13" s="3" customFormat="1" ht="11.25">
      <c r="A19" s="18" t="s">
        <v>71</v>
      </c>
      <c r="B19" s="27">
        <f aca="true" t="shared" si="8" ref="B19:L19">B9</f>
        <v>0.009380863039399624</v>
      </c>
      <c r="C19" s="29">
        <f t="shared" si="8"/>
        <v>0</v>
      </c>
      <c r="D19" s="29">
        <f t="shared" si="8"/>
        <v>0</v>
      </c>
      <c r="E19" s="29">
        <f t="shared" si="8"/>
        <v>0</v>
      </c>
      <c r="F19" s="29">
        <f t="shared" si="8"/>
        <v>0</v>
      </c>
      <c r="G19" s="29">
        <f t="shared" si="8"/>
        <v>0.9380863039399624</v>
      </c>
      <c r="H19" s="29">
        <f t="shared" si="8"/>
        <v>0</v>
      </c>
      <c r="I19" s="29">
        <f t="shared" si="8"/>
        <v>0</v>
      </c>
      <c r="J19" s="29">
        <f t="shared" si="8"/>
        <v>0.037523452157598496</v>
      </c>
      <c r="K19" s="29">
        <f t="shared" si="8"/>
        <v>0</v>
      </c>
      <c r="L19" s="29">
        <f t="shared" si="8"/>
        <v>0.0037523452157598495</v>
      </c>
      <c r="M19" s="12"/>
    </row>
    <row r="20" spans="1:13" s="3" customFormat="1" ht="11.25">
      <c r="A20" s="18" t="s">
        <v>2</v>
      </c>
      <c r="B20" s="30">
        <f aca="true" t="shared" si="9" ref="B20:L20">B19*B14</f>
        <v>0.013939293672053474</v>
      </c>
      <c r="C20" s="31">
        <f t="shared" si="9"/>
        <v>0</v>
      </c>
      <c r="D20" s="31">
        <f t="shared" si="9"/>
        <v>0</v>
      </c>
      <c r="E20" s="31">
        <f t="shared" si="9"/>
        <v>0</v>
      </c>
      <c r="F20" s="31">
        <f t="shared" si="9"/>
        <v>0</v>
      </c>
      <c r="G20" s="31">
        <f t="shared" si="9"/>
        <v>0</v>
      </c>
      <c r="H20" s="31">
        <f t="shared" si="9"/>
        <v>0</v>
      </c>
      <c r="I20" s="31">
        <f t="shared" si="9"/>
        <v>0</v>
      </c>
      <c r="J20" s="31">
        <f t="shared" si="9"/>
        <v>0.2166926561746495</v>
      </c>
      <c r="K20" s="31">
        <f t="shared" si="9"/>
        <v>0</v>
      </c>
      <c r="L20" s="31">
        <f t="shared" si="9"/>
        <v>0.006728877218054903</v>
      </c>
      <c r="M20" s="12"/>
    </row>
    <row r="21" spans="1:13" s="3" customFormat="1" ht="11.25">
      <c r="A21" s="18" t="s">
        <v>72</v>
      </c>
      <c r="B21" s="27">
        <f aca="true" t="shared" si="10" ref="B21:L21">B17+B19</f>
        <v>0.0654727899959105</v>
      </c>
      <c r="C21" s="29">
        <f t="shared" si="10"/>
        <v>0</v>
      </c>
      <c r="D21" s="29">
        <f t="shared" si="10"/>
        <v>0</v>
      </c>
      <c r="E21" s="29">
        <f t="shared" si="10"/>
        <v>0</v>
      </c>
      <c r="F21" s="29">
        <f t="shared" si="10"/>
        <v>0</v>
      </c>
      <c r="G21" s="29">
        <f t="shared" si="10"/>
        <v>0.9380863039399624</v>
      </c>
      <c r="H21" s="29">
        <f t="shared" si="10"/>
        <v>0</v>
      </c>
      <c r="I21" s="29">
        <f t="shared" si="10"/>
        <v>0</v>
      </c>
      <c r="J21" s="29">
        <f t="shared" si="10"/>
        <v>0.09202185846193577</v>
      </c>
      <c r="K21" s="29">
        <f t="shared" si="10"/>
        <v>0</v>
      </c>
      <c r="L21" s="29">
        <f t="shared" si="10"/>
        <v>0.060162976302705444</v>
      </c>
      <c r="M21" s="12"/>
    </row>
    <row r="22" spans="1:13" s="3" customFormat="1" ht="11.25">
      <c r="A22" s="18" t="s">
        <v>3</v>
      </c>
      <c r="B22" s="30">
        <f aca="true" t="shared" si="11" ref="B22:L22">B18+B20</f>
        <v>0.09728789808022723</v>
      </c>
      <c r="C22" s="31">
        <f t="shared" si="11"/>
        <v>0</v>
      </c>
      <c r="D22" s="31">
        <f t="shared" si="11"/>
        <v>0</v>
      </c>
      <c r="E22" s="31">
        <f t="shared" si="11"/>
        <v>0</v>
      </c>
      <c r="F22" s="31">
        <f t="shared" si="11"/>
        <v>0</v>
      </c>
      <c r="G22" s="31">
        <f t="shared" si="11"/>
        <v>0</v>
      </c>
      <c r="H22" s="31">
        <f t="shared" si="11"/>
        <v>0</v>
      </c>
      <c r="I22" s="31">
        <f t="shared" si="11"/>
        <v>0</v>
      </c>
      <c r="J22" s="31">
        <f t="shared" si="11"/>
        <v>0.5314132839509162</v>
      </c>
      <c r="K22" s="31">
        <f t="shared" si="11"/>
        <v>0</v>
      </c>
      <c r="L22" s="31">
        <f t="shared" si="11"/>
        <v>0.10788700328353819</v>
      </c>
      <c r="M22" s="12"/>
    </row>
    <row r="23" spans="1:13" s="3" customFormat="1" ht="11.25">
      <c r="A23" s="18" t="s">
        <v>77</v>
      </c>
      <c r="B23" s="27">
        <f aca="true" t="shared" si="12" ref="B23:L23">IF(B4&gt;0,100%-B21,B10)</f>
        <v>0.9345272100040896</v>
      </c>
      <c r="C23" s="29">
        <f t="shared" si="12"/>
        <v>0</v>
      </c>
      <c r="D23" s="29">
        <f t="shared" si="12"/>
        <v>0</v>
      </c>
      <c r="E23" s="29">
        <f t="shared" si="12"/>
        <v>0</v>
      </c>
      <c r="F23" s="29">
        <f t="shared" si="12"/>
        <v>0</v>
      </c>
      <c r="G23" s="29">
        <f t="shared" si="12"/>
        <v>0.061913696060037604</v>
      </c>
      <c r="H23" s="29">
        <f t="shared" si="12"/>
        <v>0</v>
      </c>
      <c r="I23" s="29">
        <f t="shared" si="12"/>
        <v>0</v>
      </c>
      <c r="J23" s="29">
        <f t="shared" si="12"/>
        <v>0.9079781415380642</v>
      </c>
      <c r="K23" s="29">
        <f t="shared" si="12"/>
        <v>0</v>
      </c>
      <c r="L23" s="29">
        <f t="shared" si="12"/>
        <v>0.9398370236972946</v>
      </c>
      <c r="M23" s="12"/>
    </row>
    <row r="24" spans="1:13" s="3" customFormat="1" ht="11.25">
      <c r="A24" s="18" t="s">
        <v>4</v>
      </c>
      <c r="B24" s="30">
        <f aca="true" t="shared" si="13" ref="B24:L24">B23*B14</f>
        <v>1.3886408073606733</v>
      </c>
      <c r="C24" s="31">
        <f t="shared" si="13"/>
        <v>0</v>
      </c>
      <c r="D24" s="31">
        <f t="shared" si="13"/>
        <v>0</v>
      </c>
      <c r="E24" s="31">
        <f t="shared" si="13"/>
        <v>0</v>
      </c>
      <c r="F24" s="31">
        <f t="shared" si="13"/>
        <v>0</v>
      </c>
      <c r="G24" s="31">
        <f t="shared" si="13"/>
        <v>0</v>
      </c>
      <c r="H24" s="31">
        <f t="shared" si="13"/>
        <v>0</v>
      </c>
      <c r="I24" s="31">
        <f t="shared" si="13"/>
        <v>0</v>
      </c>
      <c r="J24" s="31">
        <f t="shared" si="13"/>
        <v>5.243446003103493</v>
      </c>
      <c r="K24" s="31">
        <f t="shared" si="13"/>
        <v>0</v>
      </c>
      <c r="L24" s="31">
        <f t="shared" si="13"/>
        <v>1.6853587753280939</v>
      </c>
      <c r="M24" s="12"/>
    </row>
    <row r="25" spans="1:13" s="3" customFormat="1" ht="11.25">
      <c r="A25" s="18"/>
      <c r="B25" s="27"/>
      <c r="C25" s="28"/>
      <c r="D25" s="29"/>
      <c r="E25" s="29"/>
      <c r="F25" s="29"/>
      <c r="G25" s="29"/>
      <c r="H25" s="29"/>
      <c r="I25" s="29"/>
      <c r="J25" s="29"/>
      <c r="K25" s="29"/>
      <c r="L25" s="29"/>
      <c r="M25" s="12"/>
    </row>
    <row r="26" spans="1:13" s="3" customFormat="1" ht="11.25">
      <c r="A26" s="71" t="s">
        <v>73</v>
      </c>
      <c r="B26" s="27"/>
      <c r="C26" s="28"/>
      <c r="D26" s="29"/>
      <c r="E26" s="29"/>
      <c r="F26" s="29"/>
      <c r="G26" s="29"/>
      <c r="H26" s="29"/>
      <c r="I26" s="29"/>
      <c r="J26" s="29"/>
      <c r="K26" s="29"/>
      <c r="L26" s="29"/>
      <c r="M26" s="12"/>
    </row>
    <row r="27" spans="1:13" s="3" customFormat="1" ht="11.25">
      <c r="A27" s="18" t="s">
        <v>70</v>
      </c>
      <c r="B27" s="27">
        <f aca="true" t="shared" si="14" ref="B27:L27">B17*B8</f>
        <v>0.0005261906843950363</v>
      </c>
      <c r="C27" s="28">
        <f t="shared" si="14"/>
        <v>0</v>
      </c>
      <c r="D27" s="28">
        <f t="shared" si="14"/>
        <v>0</v>
      </c>
      <c r="E27" s="28">
        <f t="shared" si="14"/>
        <v>0</v>
      </c>
      <c r="F27" s="28">
        <f t="shared" si="14"/>
        <v>0</v>
      </c>
      <c r="G27" s="28">
        <f t="shared" si="14"/>
        <v>0</v>
      </c>
      <c r="H27" s="28">
        <f t="shared" si="14"/>
        <v>0</v>
      </c>
      <c r="I27" s="28">
        <f t="shared" si="14"/>
        <v>0</v>
      </c>
      <c r="J27" s="28">
        <f t="shared" si="14"/>
        <v>0.002044968341626164</v>
      </c>
      <c r="K27" s="28">
        <f t="shared" si="14"/>
        <v>0</v>
      </c>
      <c r="L27" s="28">
        <f t="shared" si="14"/>
        <v>0.00021167216167709412</v>
      </c>
      <c r="M27" s="12"/>
    </row>
    <row r="28" spans="1:13" s="3" customFormat="1" ht="11.25">
      <c r="A28" s="18"/>
      <c r="B28" s="27"/>
      <c r="C28" s="28"/>
      <c r="D28" s="28"/>
      <c r="E28" s="28"/>
      <c r="F28" s="28"/>
      <c r="G28" s="28"/>
      <c r="H28" s="28"/>
      <c r="I28" s="28"/>
      <c r="J28" s="28"/>
      <c r="K28" s="28"/>
      <c r="L28" s="28"/>
      <c r="M28" s="12"/>
    </row>
    <row r="29" spans="1:13" s="3" customFormat="1" ht="11.25">
      <c r="A29" s="18" t="s">
        <v>75</v>
      </c>
      <c r="B29" s="30">
        <f>IF(B4*B12&gt;0,'ISP Models'!B$14*B10,0)</f>
        <v>1.4859287054409005</v>
      </c>
      <c r="C29" s="31">
        <f>IF(C4*C12&gt;0,'ISP Models'!C$14*C10,0)</f>
        <v>0</v>
      </c>
      <c r="D29" s="31">
        <f>IF(D4*D12&gt;0,'ISP Models'!D$14*D10,0)</f>
        <v>0</v>
      </c>
      <c r="E29" s="31">
        <f>IF(E4*E12&gt;0,'ISP Models'!E$14*E10,0)</f>
        <v>0</v>
      </c>
      <c r="F29" s="31">
        <f>IF(F4*F12&gt;0,'ISP Models'!F$14*F10,0)</f>
        <v>0</v>
      </c>
      <c r="G29" s="31">
        <f>IF(G4*G12&gt;0,'ISP Models'!G$14*G10,0)</f>
        <v>0</v>
      </c>
      <c r="H29" s="31">
        <f>IF(H4*H12&gt;0,'ISP Models'!H$14*H10,0)</f>
        <v>0</v>
      </c>
      <c r="I29" s="31">
        <f>IF(I4*I12&gt;0,'ISP Models'!I$14*I10,0)</f>
        <v>0</v>
      </c>
      <c r="J29" s="31">
        <f>IF(J4*J12&gt;0,'ISP Models'!J$14*J10,0)</f>
        <v>5.77485928705441</v>
      </c>
      <c r="K29" s="31">
        <f>IF(K4*K12&gt;0,'ISP Models'!K$14*K10,0)</f>
        <v>0</v>
      </c>
      <c r="L29" s="31">
        <f>IF(L4*L12&gt;0,'ISP Models'!L$14*L10,0)</f>
        <v>0.597748592870544</v>
      </c>
      <c r="M29" s="12"/>
    </row>
    <row r="30" spans="1:13" s="3" customFormat="1" ht="11.25">
      <c r="A30" s="18" t="s">
        <v>74</v>
      </c>
      <c r="B30" s="30">
        <f aca="true" t="shared" si="15" ref="B30:L30">B29-B22</f>
        <v>1.3886408073606733</v>
      </c>
      <c r="C30" s="31">
        <f t="shared" si="15"/>
        <v>0</v>
      </c>
      <c r="D30" s="31">
        <f t="shared" si="15"/>
        <v>0</v>
      </c>
      <c r="E30" s="31">
        <f t="shared" si="15"/>
        <v>0</v>
      </c>
      <c r="F30" s="31">
        <f t="shared" si="15"/>
        <v>0</v>
      </c>
      <c r="G30" s="31">
        <f t="shared" si="15"/>
        <v>0</v>
      </c>
      <c r="H30" s="31">
        <f t="shared" si="15"/>
        <v>0</v>
      </c>
      <c r="I30" s="31">
        <f t="shared" si="15"/>
        <v>0</v>
      </c>
      <c r="J30" s="31">
        <f t="shared" si="15"/>
        <v>5.243446003103493</v>
      </c>
      <c r="K30" s="31">
        <f t="shared" si="15"/>
        <v>0</v>
      </c>
      <c r="L30" s="31">
        <f t="shared" si="15"/>
        <v>0.4898615895870059</v>
      </c>
      <c r="M30" s="12"/>
    </row>
    <row r="31" spans="1:13" s="3" customFormat="1" ht="12" thickBot="1">
      <c r="A31" s="18"/>
      <c r="B31" s="32"/>
      <c r="C31" s="33"/>
      <c r="D31" s="33"/>
      <c r="E31" s="33"/>
      <c r="F31" s="33"/>
      <c r="G31" s="33"/>
      <c r="H31" s="33"/>
      <c r="I31" s="33"/>
      <c r="J31" s="33"/>
      <c r="K31" s="33"/>
      <c r="L31" s="33"/>
      <c r="M31" s="12"/>
    </row>
    <row r="32" spans="1:13" s="3" customFormat="1" ht="12" thickTop="1">
      <c r="A32" s="18" t="s">
        <v>7</v>
      </c>
      <c r="B32" s="25">
        <f aca="true" t="shared" si="16" ref="B32:L32">B29-B30</f>
        <v>0.0972878980802272</v>
      </c>
      <c r="C32" s="26">
        <f t="shared" si="16"/>
        <v>0</v>
      </c>
      <c r="D32" s="26">
        <f t="shared" si="16"/>
        <v>0</v>
      </c>
      <c r="E32" s="26">
        <f t="shared" si="16"/>
        <v>0</v>
      </c>
      <c r="F32" s="26">
        <f t="shared" si="16"/>
        <v>0</v>
      </c>
      <c r="G32" s="26">
        <f t="shared" si="16"/>
        <v>0</v>
      </c>
      <c r="H32" s="26">
        <f t="shared" si="16"/>
        <v>0</v>
      </c>
      <c r="I32" s="26">
        <f t="shared" si="16"/>
        <v>0</v>
      </c>
      <c r="J32" s="26">
        <f t="shared" si="16"/>
        <v>0.5314132839509167</v>
      </c>
      <c r="K32" s="26">
        <f t="shared" si="16"/>
        <v>0</v>
      </c>
      <c r="L32" s="26">
        <f t="shared" si="16"/>
        <v>0.10788700328353817</v>
      </c>
      <c r="M32" s="12"/>
    </row>
    <row r="33" spans="1:13" s="3" customFormat="1" ht="11.25">
      <c r="A33" s="18" t="s">
        <v>79</v>
      </c>
      <c r="B33" s="34">
        <f aca="true" t="shared" si="17" ref="B33:L33">B32/B2</f>
        <v>0.01945757961604544</v>
      </c>
      <c r="C33" s="35">
        <f t="shared" si="17"/>
        <v>0</v>
      </c>
      <c r="D33" s="35">
        <f t="shared" si="17"/>
        <v>0</v>
      </c>
      <c r="E33" s="35">
        <f t="shared" si="17"/>
        <v>0</v>
      </c>
      <c r="F33" s="35">
        <f t="shared" si="17"/>
        <v>0</v>
      </c>
      <c r="G33" s="35">
        <f t="shared" si="17"/>
        <v>0</v>
      </c>
      <c r="H33" s="35">
        <f t="shared" si="17"/>
        <v>0</v>
      </c>
      <c r="I33" s="35">
        <f t="shared" si="17"/>
        <v>0</v>
      </c>
      <c r="J33" s="35">
        <f t="shared" si="17"/>
        <v>0.026570664197545835</v>
      </c>
      <c r="K33" s="35">
        <f t="shared" si="17"/>
        <v>0</v>
      </c>
      <c r="L33" s="35">
        <f t="shared" si="17"/>
        <v>0.05394350164176909</v>
      </c>
      <c r="M33" s="12"/>
    </row>
    <row r="34" spans="1:13" s="3" customFormat="1" ht="11.25">
      <c r="A34" s="18" t="s">
        <v>82</v>
      </c>
      <c r="B34" s="36">
        <f>B32*'ISP Models'!B$8*12</f>
        <v>3035.3824201030884</v>
      </c>
      <c r="C34" s="37">
        <f>C32*'ISP Models'!C$8*12</f>
        <v>0</v>
      </c>
      <c r="D34" s="37">
        <f>D32*'ISP Models'!D$8*12</f>
        <v>0</v>
      </c>
      <c r="E34" s="37">
        <f>E32*'ISP Models'!E$8*12</f>
        <v>0</v>
      </c>
      <c r="F34" s="37">
        <f>F32*'ISP Models'!F$8*12</f>
        <v>0</v>
      </c>
      <c r="G34" s="37">
        <f>G32*'ISP Models'!G$8*12</f>
        <v>0</v>
      </c>
      <c r="H34" s="37">
        <f>H32*'ISP Models'!H$8*12</f>
        <v>0</v>
      </c>
      <c r="I34" s="37">
        <f>I32*'ISP Models'!I$8*12</f>
        <v>0</v>
      </c>
      <c r="J34" s="37">
        <f>J32*'ISP Models'!J$8*12</f>
        <v>16580.0944592686</v>
      </c>
      <c r="K34" s="37">
        <f>K32*'ISP Models'!K$8*12</f>
        <v>0</v>
      </c>
      <c r="L34" s="37">
        <f>L32*'ISP Models'!L$8*12</f>
        <v>3366.0745024463913</v>
      </c>
      <c r="M34" s="12"/>
    </row>
    <row r="35" spans="1:13" s="3" customFormat="1" ht="11.25">
      <c r="A35" s="18"/>
      <c r="B35" s="36"/>
      <c r="C35" s="37"/>
      <c r="D35" s="37"/>
      <c r="E35" s="37"/>
      <c r="F35" s="37"/>
      <c r="G35" s="37"/>
      <c r="H35" s="37"/>
      <c r="I35" s="37"/>
      <c r="J35" s="37"/>
      <c r="K35" s="37"/>
      <c r="L35" s="37"/>
      <c r="M35" s="12"/>
    </row>
    <row r="36" spans="1:13" s="3" customFormat="1" ht="11.25">
      <c r="A36" s="18" t="s">
        <v>9</v>
      </c>
      <c r="B36" s="38">
        <f>ROUNDUP(B32/'ISP Models'!$B$27,0)</f>
        <v>2</v>
      </c>
      <c r="C36" s="39">
        <f>ROUNDUP(C32/'ISP Models'!$B$27,0)</f>
        <v>0</v>
      </c>
      <c r="D36" s="40">
        <f>ROUNDUP(D32/'ISP Models'!$B$27,0)</f>
        <v>0</v>
      </c>
      <c r="E36" s="40">
        <f>ROUNDUP(E32/'ISP Models'!$B$27,0)</f>
        <v>0</v>
      </c>
      <c r="F36" s="40">
        <f>ROUNDUP(F32/'ISP Models'!$B$27,0)</f>
        <v>0</v>
      </c>
      <c r="G36" s="40">
        <f>ROUNDUP(G32/'ISP Models'!$B$27,0)</f>
        <v>0</v>
      </c>
      <c r="H36" s="40">
        <f>ROUNDUP(H32/'ISP Models'!$B$27,0)</f>
        <v>0</v>
      </c>
      <c r="I36" s="40">
        <f>ROUNDUP(I32/'ISP Models'!$B$27,0)</f>
        <v>0</v>
      </c>
      <c r="J36" s="40">
        <f>ROUNDUP(J32/'ISP Models'!$B$27,0)</f>
        <v>9</v>
      </c>
      <c r="K36" s="40">
        <f>ROUNDUP(K32/'ISP Models'!$B$27,0)</f>
        <v>0</v>
      </c>
      <c r="L36" s="40">
        <f>ROUNDUP(L32/'ISP Models'!$B$27,0)</f>
        <v>2</v>
      </c>
      <c r="M36" s="12"/>
    </row>
    <row r="37" spans="1:13" s="3" customFormat="1" ht="11.25">
      <c r="A37" s="18" t="s">
        <v>10</v>
      </c>
      <c r="B37" s="41">
        <f>B36*'ISP Models'!$B$27</f>
        <v>0.128</v>
      </c>
      <c r="C37" s="42">
        <f>C36*'ISP Models'!$B$27</f>
        <v>0</v>
      </c>
      <c r="D37" s="43">
        <f>D36*'ISP Models'!$B$27</f>
        <v>0</v>
      </c>
      <c r="E37" s="43">
        <f>E36*'ISP Models'!$B$27</f>
        <v>0</v>
      </c>
      <c r="F37" s="43">
        <f>F36*'ISP Models'!$B$27</f>
        <v>0</v>
      </c>
      <c r="G37" s="43">
        <f>G36*'ISP Models'!$B$27</f>
        <v>0</v>
      </c>
      <c r="H37" s="43">
        <f>H36*'ISP Models'!$B$27</f>
        <v>0</v>
      </c>
      <c r="I37" s="43">
        <f>I36*'ISP Models'!$B$27</f>
        <v>0</v>
      </c>
      <c r="J37" s="43">
        <f>J36*'ISP Models'!$B$27</f>
        <v>0.5760000000000001</v>
      </c>
      <c r="K37" s="43">
        <f>K36*'ISP Models'!$B$27</f>
        <v>0</v>
      </c>
      <c r="L37" s="43">
        <f>L36*'ISP Models'!$B$27</f>
        <v>0.128</v>
      </c>
      <c r="M37" s="12"/>
    </row>
    <row r="38" spans="1:13" s="3" customFormat="1" ht="11.25">
      <c r="A38" s="18" t="s">
        <v>11</v>
      </c>
      <c r="B38" s="41">
        <f aca="true" t="shared" si="18" ref="B38:L38">B37-B32</f>
        <v>0.030712101919772805</v>
      </c>
      <c r="C38" s="42">
        <f t="shared" si="18"/>
        <v>0</v>
      </c>
      <c r="D38" s="43">
        <f t="shared" si="18"/>
        <v>0</v>
      </c>
      <c r="E38" s="43">
        <f t="shared" si="18"/>
        <v>0</v>
      </c>
      <c r="F38" s="43">
        <f t="shared" si="18"/>
        <v>0</v>
      </c>
      <c r="G38" s="43">
        <f t="shared" si="18"/>
        <v>0</v>
      </c>
      <c r="H38" s="43">
        <f t="shared" si="18"/>
        <v>0</v>
      </c>
      <c r="I38" s="43">
        <f t="shared" si="18"/>
        <v>0</v>
      </c>
      <c r="J38" s="43">
        <f t="shared" si="18"/>
        <v>0.044586716049083375</v>
      </c>
      <c r="K38" s="43">
        <f t="shared" si="18"/>
        <v>0</v>
      </c>
      <c r="L38" s="43">
        <f t="shared" si="18"/>
        <v>0.02011299671646183</v>
      </c>
      <c r="M38" s="12"/>
    </row>
    <row r="39" spans="1:13" s="3" customFormat="1" ht="11.25">
      <c r="A39" s="18" t="s">
        <v>83</v>
      </c>
      <c r="B39" s="36">
        <f>B37*'ISP Models'!B$17*12</f>
        <v>1536</v>
      </c>
      <c r="C39" s="44">
        <f>C37*'ISP Models'!C$17*12</f>
        <v>0</v>
      </c>
      <c r="D39" s="45">
        <f>D37*'ISP Models'!D$17*12</f>
        <v>0</v>
      </c>
      <c r="E39" s="45">
        <f>E37*'ISP Models'!E$17*12</f>
        <v>0</v>
      </c>
      <c r="F39" s="45">
        <f>F37*'ISP Models'!F$17*12</f>
        <v>0</v>
      </c>
      <c r="G39" s="45">
        <f>G37*'ISP Models'!G$17*12</f>
        <v>0</v>
      </c>
      <c r="H39" s="45">
        <f>H37*'ISP Models'!H$17*12</f>
        <v>0</v>
      </c>
      <c r="I39" s="45">
        <f>I37*'ISP Models'!I$17*12</f>
        <v>0</v>
      </c>
      <c r="J39" s="45">
        <f>J37*'ISP Models'!J$17*12</f>
        <v>6912.000000000002</v>
      </c>
      <c r="K39" s="45">
        <f>K37*'ISP Models'!K$17*12</f>
        <v>0</v>
      </c>
      <c r="L39" s="45">
        <f>L37*'ISP Models'!L$17*12</f>
        <v>1536</v>
      </c>
      <c r="M39" s="12"/>
    </row>
    <row r="40" spans="1:13" s="3" customFormat="1" ht="11.25">
      <c r="A40" s="18" t="s">
        <v>84</v>
      </c>
      <c r="B40" s="36">
        <f>IF(B12&gt;0,'ISP Models'!$B$28,0)</f>
        <v>1000</v>
      </c>
      <c r="C40" s="44">
        <f>IF(C12&gt;0,'ISP Models'!$B$28,0)</f>
        <v>0</v>
      </c>
      <c r="D40" s="45">
        <f>IF(D12&gt;0,'ISP Models'!$B$28,0)</f>
        <v>0</v>
      </c>
      <c r="E40" s="45">
        <f>IF(E12&gt;0,'ISP Models'!$B$28,0)</f>
        <v>0</v>
      </c>
      <c r="F40" s="45">
        <f>IF(F12&gt;0,'ISP Models'!$B$28,0)</f>
        <v>0</v>
      </c>
      <c r="G40" s="45">
        <f>IF(G12&gt;0,'ISP Models'!$B$28,0)</f>
        <v>0</v>
      </c>
      <c r="H40" s="45">
        <f>IF(H12&gt;0,'ISP Models'!$B$28,0)</f>
        <v>0</v>
      </c>
      <c r="I40" s="45">
        <f>IF(I12&gt;0,'ISP Models'!$B$28,0)</f>
        <v>0</v>
      </c>
      <c r="J40" s="45">
        <f>IF(J12&gt;0,'ISP Models'!$B$28,0)</f>
        <v>1000</v>
      </c>
      <c r="K40" s="45">
        <f>IF(K12&gt;0,'ISP Models'!$B$28,0)</f>
        <v>0</v>
      </c>
      <c r="L40" s="45">
        <f>IF(L12&gt;0,'ISP Models'!$B$28,0)</f>
        <v>1000</v>
      </c>
      <c r="M40" s="12"/>
    </row>
    <row r="41" spans="1:13" s="3" customFormat="1" ht="12" thickBot="1">
      <c r="A41" s="18"/>
      <c r="B41" s="46"/>
      <c r="C41" s="47"/>
      <c r="D41" s="47"/>
      <c r="E41" s="47"/>
      <c r="F41" s="47"/>
      <c r="G41" s="47"/>
      <c r="H41" s="47"/>
      <c r="I41" s="47"/>
      <c r="J41" s="47"/>
      <c r="K41" s="47"/>
      <c r="L41" s="48"/>
      <c r="M41" s="12"/>
    </row>
    <row r="42" spans="1:13" s="3" customFormat="1" ht="12" thickTop="1">
      <c r="A42" s="18" t="s">
        <v>0</v>
      </c>
      <c r="B42" s="36">
        <f aca="true" t="shared" si="19" ref="B42:L42">B34-(B39+B40)</f>
        <v>499.3824201030884</v>
      </c>
      <c r="C42" s="45">
        <f t="shared" si="19"/>
        <v>0</v>
      </c>
      <c r="D42" s="45">
        <f t="shared" si="19"/>
        <v>0</v>
      </c>
      <c r="E42" s="45">
        <f t="shared" si="19"/>
        <v>0</v>
      </c>
      <c r="F42" s="45">
        <f t="shared" si="19"/>
        <v>0</v>
      </c>
      <c r="G42" s="45">
        <f t="shared" si="19"/>
        <v>0</v>
      </c>
      <c r="H42" s="45">
        <f t="shared" si="19"/>
        <v>0</v>
      </c>
      <c r="I42" s="45">
        <f t="shared" si="19"/>
        <v>0</v>
      </c>
      <c r="J42" s="45">
        <f t="shared" si="19"/>
        <v>8668.094459268597</v>
      </c>
      <c r="K42" s="45">
        <f t="shared" si="19"/>
        <v>0</v>
      </c>
      <c r="L42" s="45">
        <f t="shared" si="19"/>
        <v>830.0745024463913</v>
      </c>
      <c r="M42" s="12"/>
    </row>
    <row r="43" spans="1:13" s="3" customFormat="1" ht="11.25">
      <c r="A43" s="18"/>
      <c r="B43" s="27"/>
      <c r="C43" s="28"/>
      <c r="D43" s="28"/>
      <c r="E43" s="28"/>
      <c r="F43" s="28"/>
      <c r="G43" s="28"/>
      <c r="H43" s="28"/>
      <c r="I43" s="28"/>
      <c r="J43" s="28"/>
      <c r="K43" s="28"/>
      <c r="L43" s="28"/>
      <c r="M43" s="12"/>
    </row>
    <row r="44" spans="1:13" s="3" customFormat="1" ht="11.25">
      <c r="A44" s="18" t="s">
        <v>8</v>
      </c>
      <c r="B44" s="30">
        <f aca="true" t="shared" si="20" ref="B44:L44">B32*B$12</f>
        <v>0.0972878980802272</v>
      </c>
      <c r="C44" s="31">
        <f t="shared" si="20"/>
        <v>0</v>
      </c>
      <c r="D44" s="31">
        <f t="shared" si="20"/>
        <v>0</v>
      </c>
      <c r="E44" s="31">
        <f t="shared" si="20"/>
        <v>0</v>
      </c>
      <c r="F44" s="31">
        <f t="shared" si="20"/>
        <v>0</v>
      </c>
      <c r="G44" s="31">
        <f t="shared" si="20"/>
        <v>0</v>
      </c>
      <c r="H44" s="31">
        <f t="shared" si="20"/>
        <v>0</v>
      </c>
      <c r="I44" s="31">
        <f t="shared" si="20"/>
        <v>0</v>
      </c>
      <c r="J44" s="31">
        <f t="shared" si="20"/>
        <v>0.5314132839509167</v>
      </c>
      <c r="K44" s="31">
        <f t="shared" si="20"/>
        <v>0</v>
      </c>
      <c r="L44" s="31">
        <f t="shared" si="20"/>
        <v>0.3236610098506145</v>
      </c>
      <c r="M44" s="12"/>
    </row>
    <row r="45" spans="1:13" s="3" customFormat="1" ht="11.25">
      <c r="A45" s="18" t="s">
        <v>80</v>
      </c>
      <c r="B45" s="36">
        <f aca="true" t="shared" si="21" ref="B45:L45">B34*B$12</f>
        <v>3035.3824201030884</v>
      </c>
      <c r="C45" s="45">
        <f t="shared" si="21"/>
        <v>0</v>
      </c>
      <c r="D45" s="45">
        <f t="shared" si="21"/>
        <v>0</v>
      </c>
      <c r="E45" s="45">
        <f t="shared" si="21"/>
        <v>0</v>
      </c>
      <c r="F45" s="45">
        <f t="shared" si="21"/>
        <v>0</v>
      </c>
      <c r="G45" s="45">
        <f t="shared" si="21"/>
        <v>0</v>
      </c>
      <c r="H45" s="45">
        <f t="shared" si="21"/>
        <v>0</v>
      </c>
      <c r="I45" s="45">
        <f t="shared" si="21"/>
        <v>0</v>
      </c>
      <c r="J45" s="45">
        <f t="shared" si="21"/>
        <v>16580.0944592686</v>
      </c>
      <c r="K45" s="45">
        <f t="shared" si="21"/>
        <v>0</v>
      </c>
      <c r="L45" s="45">
        <f t="shared" si="21"/>
        <v>10098.223507339175</v>
      </c>
      <c r="M45" s="12"/>
    </row>
    <row r="46" spans="1:13" s="3" customFormat="1" ht="11.25">
      <c r="A46" s="18" t="s">
        <v>5</v>
      </c>
      <c r="B46" s="36">
        <f aca="true" t="shared" si="22" ref="B46:L46">B39*B12</f>
        <v>1536</v>
      </c>
      <c r="C46" s="37">
        <f t="shared" si="22"/>
        <v>0</v>
      </c>
      <c r="D46" s="37">
        <f t="shared" si="22"/>
        <v>0</v>
      </c>
      <c r="E46" s="37">
        <f t="shared" si="22"/>
        <v>0</v>
      </c>
      <c r="F46" s="37">
        <f t="shared" si="22"/>
        <v>0</v>
      </c>
      <c r="G46" s="37">
        <f t="shared" si="22"/>
        <v>0</v>
      </c>
      <c r="H46" s="37">
        <f t="shared" si="22"/>
        <v>0</v>
      </c>
      <c r="I46" s="37">
        <f t="shared" si="22"/>
        <v>0</v>
      </c>
      <c r="J46" s="37">
        <f t="shared" si="22"/>
        <v>6912.000000000002</v>
      </c>
      <c r="K46" s="37">
        <f t="shared" si="22"/>
        <v>0</v>
      </c>
      <c r="L46" s="37">
        <f t="shared" si="22"/>
        <v>4608</v>
      </c>
      <c r="M46" s="12"/>
    </row>
    <row r="47" spans="1:13" s="3" customFormat="1" ht="11.25">
      <c r="A47" s="18" t="s">
        <v>6</v>
      </c>
      <c r="B47" s="36">
        <f aca="true" t="shared" si="23" ref="B47:L47">B40*B12</f>
        <v>1000</v>
      </c>
      <c r="C47" s="37">
        <f t="shared" si="23"/>
        <v>0</v>
      </c>
      <c r="D47" s="37">
        <f t="shared" si="23"/>
        <v>0</v>
      </c>
      <c r="E47" s="37">
        <f t="shared" si="23"/>
        <v>0</v>
      </c>
      <c r="F47" s="37">
        <f t="shared" si="23"/>
        <v>0</v>
      </c>
      <c r="G47" s="37">
        <f t="shared" si="23"/>
        <v>0</v>
      </c>
      <c r="H47" s="37">
        <f t="shared" si="23"/>
        <v>0</v>
      </c>
      <c r="I47" s="37">
        <f t="shared" si="23"/>
        <v>0</v>
      </c>
      <c r="J47" s="37">
        <f t="shared" si="23"/>
        <v>1000</v>
      </c>
      <c r="K47" s="37">
        <f t="shared" si="23"/>
        <v>0</v>
      </c>
      <c r="L47" s="37">
        <f t="shared" si="23"/>
        <v>3000</v>
      </c>
      <c r="M47" s="12"/>
    </row>
    <row r="48" spans="1:13" s="3" customFormat="1" ht="12" thickBot="1">
      <c r="A48" s="18"/>
      <c r="B48" s="46"/>
      <c r="C48" s="47"/>
      <c r="D48" s="47"/>
      <c r="E48" s="47"/>
      <c r="F48" s="47"/>
      <c r="G48" s="47"/>
      <c r="H48" s="47"/>
      <c r="I48" s="47"/>
      <c r="J48" s="47"/>
      <c r="K48" s="47"/>
      <c r="L48" s="47"/>
      <c r="M48" s="12"/>
    </row>
    <row r="49" spans="1:13" s="3" customFormat="1" ht="12.75" thickBot="1" thickTop="1">
      <c r="A49" s="18" t="s">
        <v>0</v>
      </c>
      <c r="B49" s="49">
        <f aca="true" t="shared" si="24" ref="B49:L49">B45-(B46+B47)</f>
        <v>499.3824201030884</v>
      </c>
      <c r="C49" s="37">
        <f t="shared" si="24"/>
        <v>0</v>
      </c>
      <c r="D49" s="37">
        <f t="shared" si="24"/>
        <v>0</v>
      </c>
      <c r="E49" s="37">
        <f t="shared" si="24"/>
        <v>0</v>
      </c>
      <c r="F49" s="37">
        <f t="shared" si="24"/>
        <v>0</v>
      </c>
      <c r="G49" s="37">
        <f t="shared" si="24"/>
        <v>0</v>
      </c>
      <c r="H49" s="37">
        <f t="shared" si="24"/>
        <v>0</v>
      </c>
      <c r="I49" s="37">
        <f t="shared" si="24"/>
        <v>0</v>
      </c>
      <c r="J49" s="37">
        <f t="shared" si="24"/>
        <v>8668.094459268597</v>
      </c>
      <c r="K49" s="37">
        <f t="shared" si="24"/>
        <v>0</v>
      </c>
      <c r="L49" s="37">
        <f t="shared" si="24"/>
        <v>2490.223507339175</v>
      </c>
      <c r="M49" s="12"/>
    </row>
    <row r="50" s="3" customFormat="1" ht="11.25">
      <c r="M50" s="12"/>
    </row>
    <row r="51" spans="1:2" s="3" customFormat="1" ht="11.25">
      <c r="A51" s="3" t="s">
        <v>64</v>
      </c>
      <c r="B51" s="50">
        <f>SUM(B14:L14)/SUM(B5:L5)</f>
        <v>0.05662310050723541</v>
      </c>
    </row>
    <row r="52" s="3" customFormat="1" ht="11.25"/>
    <row r="53" spans="1:2" s="3" customFormat="1" ht="11.25">
      <c r="A53" s="3" t="s">
        <v>81</v>
      </c>
      <c r="B53" s="51">
        <f>SUM(B45:L45)</f>
        <v>29713.70038671086</v>
      </c>
    </row>
    <row r="54" s="3" customFormat="1" ht="11.25"/>
  </sheetData>
  <sheetProtection/>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1:M53"/>
  <sheetViews>
    <sheetView zoomScalePageLayoutView="0" workbookViewId="0" topLeftCell="A1">
      <selection activeCell="A7" sqref="A7"/>
    </sheetView>
  </sheetViews>
  <sheetFormatPr defaultColWidth="8.8515625" defaultRowHeight="12.75"/>
  <cols>
    <col min="1" max="1" width="40.28125" style="0" bestFit="1" customWidth="1"/>
    <col min="2" max="2" width="7.421875" style="0" bestFit="1" customWidth="1"/>
    <col min="3" max="4" width="6.8515625" style="0" bestFit="1" customWidth="1"/>
    <col min="5" max="5" width="6.28125" style="0" bestFit="1" customWidth="1"/>
    <col min="6" max="6" width="7.140625" style="0" bestFit="1" customWidth="1"/>
    <col min="7" max="9" width="6.28125" style="0" bestFit="1" customWidth="1"/>
    <col min="10" max="10" width="7.140625" style="0" bestFit="1" customWidth="1"/>
    <col min="11" max="11" width="6.28125" style="0" bestFit="1" customWidth="1"/>
    <col min="12" max="12" width="7.421875" style="0" bestFit="1" customWidth="1"/>
    <col min="13" max="13" width="9.28125" style="0" bestFit="1" customWidth="1"/>
  </cols>
  <sheetData>
    <row r="1" spans="1:13" s="3" customFormat="1" ht="9.75">
      <c r="A1" s="2" t="s">
        <v>60</v>
      </c>
      <c r="B1" s="4" t="s">
        <v>58</v>
      </c>
      <c r="C1" s="5" t="s">
        <v>50</v>
      </c>
      <c r="D1" s="5" t="s">
        <v>51</v>
      </c>
      <c r="E1" s="5" t="s">
        <v>52</v>
      </c>
      <c r="F1" s="6" t="s">
        <v>17</v>
      </c>
      <c r="G1" s="6" t="s">
        <v>18</v>
      </c>
      <c r="H1" s="6" t="s">
        <v>19</v>
      </c>
      <c r="I1" s="7" t="s">
        <v>20</v>
      </c>
      <c r="J1" s="7" t="s">
        <v>21</v>
      </c>
      <c r="K1" s="7" t="s">
        <v>22</v>
      </c>
      <c r="L1" s="7" t="s">
        <v>23</v>
      </c>
      <c r="M1" s="8" t="s">
        <v>59</v>
      </c>
    </row>
    <row r="2" spans="1:13" s="3" customFormat="1" ht="9.75">
      <c r="A2" s="9" t="s">
        <v>57</v>
      </c>
      <c r="B2" s="10">
        <f>'ISP Models'!$B$7</f>
        <v>5</v>
      </c>
      <c r="C2" s="11">
        <f>'ISP Models'!$C$7</f>
        <v>50000</v>
      </c>
      <c r="D2" s="11">
        <f>'ISP Models'!$D$7</f>
        <v>10000</v>
      </c>
      <c r="E2" s="11">
        <f>'ISP Models'!$E$7</f>
        <v>2500</v>
      </c>
      <c r="F2" s="11">
        <f>'ISP Models'!$F$7</f>
        <v>1000</v>
      </c>
      <c r="G2" s="11">
        <f>'ISP Models'!$G$7</f>
        <v>500</v>
      </c>
      <c r="H2" s="11">
        <f>'ISP Models'!$H$7</f>
        <v>250</v>
      </c>
      <c r="I2" s="11">
        <f>'ISP Models'!$I$7</f>
        <v>100</v>
      </c>
      <c r="J2" s="11">
        <f>'ISP Models'!$J$7</f>
        <v>20</v>
      </c>
      <c r="K2" s="11">
        <f>'ISP Models'!$K$7</f>
        <v>5</v>
      </c>
      <c r="L2" s="11">
        <f>'ISP Models'!$L$7</f>
        <v>2</v>
      </c>
      <c r="M2" s="12"/>
    </row>
    <row r="3" spans="1:13" s="3" customFormat="1" ht="9.75">
      <c r="A3" s="9"/>
      <c r="B3" s="10"/>
      <c r="M3" s="12"/>
    </row>
    <row r="4" spans="1:13" s="3" customFormat="1" ht="9.75">
      <c r="A4" s="9" t="s">
        <v>55</v>
      </c>
      <c r="B4" s="13">
        <v>1</v>
      </c>
      <c r="C4" s="14">
        <v>0</v>
      </c>
      <c r="D4" s="14">
        <v>0</v>
      </c>
      <c r="E4" s="14">
        <v>0</v>
      </c>
      <c r="F4" s="14">
        <v>1</v>
      </c>
      <c r="G4" s="14">
        <v>0</v>
      </c>
      <c r="H4" s="14">
        <v>0</v>
      </c>
      <c r="I4" s="14">
        <v>0</v>
      </c>
      <c r="J4" s="14">
        <v>2</v>
      </c>
      <c r="K4" s="14">
        <v>0</v>
      </c>
      <c r="L4" s="14">
        <v>3</v>
      </c>
      <c r="M4" s="12"/>
    </row>
    <row r="5" spans="1:13" s="3" customFormat="1" ht="9.75">
      <c r="A5" s="9" t="s">
        <v>76</v>
      </c>
      <c r="B5" s="15">
        <f>B4*B2*'ISP Models'!B$13</f>
        <v>1.5</v>
      </c>
      <c r="C5" s="16">
        <f>C4*C2*'ISP Models'!C$13</f>
        <v>0</v>
      </c>
      <c r="D5" s="16">
        <f>D4*D2*'ISP Models'!D$13</f>
        <v>0</v>
      </c>
      <c r="E5" s="16">
        <f>E4*E2*'ISP Models'!E$13</f>
        <v>0</v>
      </c>
      <c r="F5" s="16">
        <f>F4*F2*'ISP Models'!F$13</f>
        <v>300</v>
      </c>
      <c r="G5" s="16">
        <f>G4*G2*'ISP Models'!G$13</f>
        <v>0</v>
      </c>
      <c r="H5" s="16">
        <f>H4*H2*'ISP Models'!H$13</f>
        <v>0</v>
      </c>
      <c r="I5" s="16">
        <f>I4*I2*'ISP Models'!I$13</f>
        <v>0</v>
      </c>
      <c r="J5" s="16">
        <f>J4*J2*'ISP Models'!J$13</f>
        <v>12</v>
      </c>
      <c r="K5" s="16">
        <f>K4*K2*'ISP Models'!K$13</f>
        <v>0</v>
      </c>
      <c r="L5" s="16">
        <f>L4*L2*'ISP Models'!L$13</f>
        <v>1.7999999999999998</v>
      </c>
      <c r="M5" s="17">
        <f>SUM(B5:L5)</f>
        <v>315.3</v>
      </c>
    </row>
    <row r="6" spans="1:13" s="3" customFormat="1" ht="9.75">
      <c r="A6" s="9"/>
      <c r="B6" s="15"/>
      <c r="C6" s="16"/>
      <c r="D6" s="16"/>
      <c r="E6" s="16"/>
      <c r="F6" s="16"/>
      <c r="G6" s="16"/>
      <c r="H6" s="16"/>
      <c r="I6" s="16"/>
      <c r="J6" s="16"/>
      <c r="K6" s="16"/>
      <c r="L6" s="16"/>
      <c r="M6" s="17"/>
    </row>
    <row r="7" spans="1:13" s="3" customFormat="1" ht="9.75">
      <c r="A7" s="71" t="s">
        <v>65</v>
      </c>
      <c r="B7" s="15"/>
      <c r="C7" s="16"/>
      <c r="D7" s="16"/>
      <c r="E7" s="16"/>
      <c r="F7" s="16"/>
      <c r="G7" s="16"/>
      <c r="H7" s="16"/>
      <c r="I7" s="16"/>
      <c r="J7" s="16"/>
      <c r="K7" s="16"/>
      <c r="L7" s="16"/>
      <c r="M7" s="17"/>
    </row>
    <row r="8" spans="1:13" s="3" customFormat="1" ht="9.75">
      <c r="A8" s="18" t="s">
        <v>66</v>
      </c>
      <c r="B8" s="19">
        <f aca="true" t="shared" si="0" ref="B8:L8">IF(B4&gt;0,B5/SUM($B$5:$L$5)/B4,0)</f>
        <v>0.004757373929590866</v>
      </c>
      <c r="C8" s="20">
        <f t="shared" si="0"/>
        <v>0</v>
      </c>
      <c r="D8" s="20">
        <f t="shared" si="0"/>
        <v>0</v>
      </c>
      <c r="E8" s="20">
        <f t="shared" si="0"/>
        <v>0</v>
      </c>
      <c r="F8" s="20">
        <f t="shared" si="0"/>
        <v>0.9514747859181731</v>
      </c>
      <c r="G8" s="20">
        <f t="shared" si="0"/>
        <v>0</v>
      </c>
      <c r="H8" s="20">
        <f t="shared" si="0"/>
        <v>0</v>
      </c>
      <c r="I8" s="20">
        <f t="shared" si="0"/>
        <v>0</v>
      </c>
      <c r="J8" s="20">
        <f t="shared" si="0"/>
        <v>0.019029495718363463</v>
      </c>
      <c r="K8" s="20">
        <f t="shared" si="0"/>
        <v>0</v>
      </c>
      <c r="L8" s="20">
        <f t="shared" si="0"/>
        <v>0.001902949571836346</v>
      </c>
      <c r="M8" s="12"/>
    </row>
    <row r="9" spans="1:13" s="3" customFormat="1" ht="9.75">
      <c r="A9" s="18" t="s">
        <v>68</v>
      </c>
      <c r="B9" s="19">
        <f aca="true" t="shared" si="1" ref="B9:L9">B8</f>
        <v>0.004757373929590866</v>
      </c>
      <c r="C9" s="20">
        <f t="shared" si="1"/>
        <v>0</v>
      </c>
      <c r="D9" s="20">
        <f t="shared" si="1"/>
        <v>0</v>
      </c>
      <c r="E9" s="20">
        <f t="shared" si="1"/>
        <v>0</v>
      </c>
      <c r="F9" s="20">
        <f t="shared" si="1"/>
        <v>0.9514747859181731</v>
      </c>
      <c r="G9" s="20">
        <f t="shared" si="1"/>
        <v>0</v>
      </c>
      <c r="H9" s="20">
        <f t="shared" si="1"/>
        <v>0</v>
      </c>
      <c r="I9" s="20">
        <f t="shared" si="1"/>
        <v>0</v>
      </c>
      <c r="J9" s="20">
        <f t="shared" si="1"/>
        <v>0.019029495718363463</v>
      </c>
      <c r="K9" s="20">
        <f t="shared" si="1"/>
        <v>0</v>
      </c>
      <c r="L9" s="20">
        <f t="shared" si="1"/>
        <v>0.001902949571836346</v>
      </c>
      <c r="M9" s="12"/>
    </row>
    <row r="10" spans="1:13" s="3" customFormat="1" ht="9.75">
      <c r="A10" s="18" t="s">
        <v>67</v>
      </c>
      <c r="B10" s="19">
        <f aca="true" t="shared" si="2" ref="B10:L10">IF(B4&gt;0,100%-B8,0)</f>
        <v>0.9952426260704091</v>
      </c>
      <c r="C10" s="20">
        <f t="shared" si="2"/>
        <v>0</v>
      </c>
      <c r="D10" s="20">
        <f t="shared" si="2"/>
        <v>0</v>
      </c>
      <c r="E10" s="20">
        <f t="shared" si="2"/>
        <v>0</v>
      </c>
      <c r="F10" s="20">
        <f t="shared" si="2"/>
        <v>0.04852521408182686</v>
      </c>
      <c r="G10" s="20">
        <f t="shared" si="2"/>
        <v>0</v>
      </c>
      <c r="H10" s="20">
        <f t="shared" si="2"/>
        <v>0</v>
      </c>
      <c r="I10" s="20">
        <f t="shared" si="2"/>
        <v>0</v>
      </c>
      <c r="J10" s="20">
        <f t="shared" si="2"/>
        <v>0.9809705042816366</v>
      </c>
      <c r="K10" s="20">
        <f t="shared" si="2"/>
        <v>0</v>
      </c>
      <c r="L10" s="20">
        <f t="shared" si="2"/>
        <v>0.9980970504281637</v>
      </c>
      <c r="M10" s="12"/>
    </row>
    <row r="11" spans="1:13" s="3" customFormat="1" ht="9.75">
      <c r="A11" s="18"/>
      <c r="B11" s="19"/>
      <c r="C11" s="20"/>
      <c r="D11" s="20"/>
      <c r="E11" s="20"/>
      <c r="F11" s="20"/>
      <c r="G11" s="20"/>
      <c r="H11" s="20"/>
      <c r="I11" s="20"/>
      <c r="J11" s="20"/>
      <c r="K11" s="20"/>
      <c r="L11" s="20"/>
      <c r="M11" s="12"/>
    </row>
    <row r="12" spans="1:13" s="3" customFormat="1" ht="9.75">
      <c r="A12" s="3" t="s">
        <v>61</v>
      </c>
      <c r="B12" s="13">
        <v>1</v>
      </c>
      <c r="C12" s="14">
        <v>0</v>
      </c>
      <c r="D12" s="14">
        <v>0</v>
      </c>
      <c r="E12" s="14">
        <v>0</v>
      </c>
      <c r="F12" s="14">
        <v>0</v>
      </c>
      <c r="G12" s="14">
        <v>0</v>
      </c>
      <c r="H12" s="14">
        <v>0</v>
      </c>
      <c r="I12" s="14">
        <v>0</v>
      </c>
      <c r="J12" s="14">
        <v>0</v>
      </c>
      <c r="K12" s="14">
        <v>0</v>
      </c>
      <c r="L12" s="14">
        <v>1</v>
      </c>
      <c r="M12" s="12"/>
    </row>
    <row r="13" spans="1:13" s="3" customFormat="1" ht="9.75">
      <c r="A13" s="9" t="s">
        <v>62</v>
      </c>
      <c r="B13" s="23">
        <f aca="true" t="shared" si="3" ref="B13:L13">IF(ISERR(B12/B4),0,B12/B4)</f>
        <v>1</v>
      </c>
      <c r="C13" s="24">
        <f t="shared" si="3"/>
        <v>0</v>
      </c>
      <c r="D13" s="24">
        <f t="shared" si="3"/>
        <v>0</v>
      </c>
      <c r="E13" s="24">
        <f t="shared" si="3"/>
        <v>0</v>
      </c>
      <c r="F13" s="24">
        <f t="shared" si="3"/>
        <v>0</v>
      </c>
      <c r="G13" s="24">
        <f t="shared" si="3"/>
        <v>0</v>
      </c>
      <c r="H13" s="24">
        <f t="shared" si="3"/>
        <v>0</v>
      </c>
      <c r="I13" s="24">
        <f t="shared" si="3"/>
        <v>0</v>
      </c>
      <c r="J13" s="24">
        <f t="shared" si="3"/>
        <v>0</v>
      </c>
      <c r="K13" s="24">
        <f t="shared" si="3"/>
        <v>0</v>
      </c>
      <c r="L13" s="24">
        <f t="shared" si="3"/>
        <v>0.3333333333333333</v>
      </c>
      <c r="M13" s="12"/>
    </row>
    <row r="14" spans="1:13" s="3" customFormat="1" ht="9.75">
      <c r="A14" s="9" t="s">
        <v>78</v>
      </c>
      <c r="B14" s="25">
        <f aca="true" t="shared" si="4" ref="B14:L14">B13*B5*B10</f>
        <v>1.4928639391056138</v>
      </c>
      <c r="C14" s="26">
        <f t="shared" si="4"/>
        <v>0</v>
      </c>
      <c r="D14" s="26">
        <f t="shared" si="4"/>
        <v>0</v>
      </c>
      <c r="E14" s="26">
        <f t="shared" si="4"/>
        <v>0</v>
      </c>
      <c r="F14" s="26">
        <f t="shared" si="4"/>
        <v>0</v>
      </c>
      <c r="G14" s="26">
        <f t="shared" si="4"/>
        <v>0</v>
      </c>
      <c r="H14" s="26">
        <f t="shared" si="4"/>
        <v>0</v>
      </c>
      <c r="I14" s="26">
        <f t="shared" si="4"/>
        <v>0</v>
      </c>
      <c r="J14" s="26">
        <f t="shared" si="4"/>
        <v>0</v>
      </c>
      <c r="K14" s="26">
        <f t="shared" si="4"/>
        <v>0</v>
      </c>
      <c r="L14" s="26">
        <f t="shared" si="4"/>
        <v>0.5988582302568981</v>
      </c>
      <c r="M14" s="17">
        <f>SUM(B14:L14)</f>
        <v>2.091722169362512</v>
      </c>
    </row>
    <row r="15" spans="1:13" s="3" customFormat="1" ht="9.75">
      <c r="A15" s="9"/>
      <c r="B15" s="27"/>
      <c r="C15" s="28"/>
      <c r="D15" s="28"/>
      <c r="E15" s="28"/>
      <c r="F15" s="28"/>
      <c r="G15" s="28"/>
      <c r="H15" s="28"/>
      <c r="I15" s="28"/>
      <c r="J15" s="28"/>
      <c r="K15" s="28"/>
      <c r="L15" s="28"/>
      <c r="M15" s="12"/>
    </row>
    <row r="16" spans="1:13" s="3" customFormat="1" ht="9.75">
      <c r="A16" s="71" t="s">
        <v>69</v>
      </c>
      <c r="B16" s="27"/>
      <c r="C16" s="28"/>
      <c r="D16" s="29"/>
      <c r="E16" s="29"/>
      <c r="F16" s="29"/>
      <c r="G16" s="29"/>
      <c r="H16" s="29"/>
      <c r="I16" s="29"/>
      <c r="J16" s="29"/>
      <c r="K16" s="29"/>
      <c r="L16" s="29"/>
      <c r="M16" s="12"/>
    </row>
    <row r="17" spans="1:13" s="3" customFormat="1" ht="9.75">
      <c r="A17" s="18" t="s">
        <v>63</v>
      </c>
      <c r="B17" s="27">
        <f aca="true" t="shared" si="5" ref="B17:L17">IF(B12&gt;0,B10*$B$51,0)</f>
        <v>0.006602508927516776</v>
      </c>
      <c r="C17" s="29">
        <f t="shared" si="5"/>
        <v>0</v>
      </c>
      <c r="D17" s="29">
        <f t="shared" si="5"/>
        <v>0</v>
      </c>
      <c r="E17" s="29">
        <f t="shared" si="5"/>
        <v>0</v>
      </c>
      <c r="F17" s="29">
        <f t="shared" si="5"/>
        <v>0</v>
      </c>
      <c r="G17" s="29">
        <f t="shared" si="5"/>
        <v>0</v>
      </c>
      <c r="H17" s="29">
        <f t="shared" si="5"/>
        <v>0</v>
      </c>
      <c r="I17" s="29">
        <f t="shared" si="5"/>
        <v>0</v>
      </c>
      <c r="J17" s="29">
        <f t="shared" si="5"/>
        <v>0</v>
      </c>
      <c r="K17" s="29">
        <f t="shared" si="5"/>
        <v>0</v>
      </c>
      <c r="L17" s="29">
        <f t="shared" si="5"/>
        <v>0.006621445377595696</v>
      </c>
      <c r="M17" s="12"/>
    </row>
    <row r="18" spans="1:13" s="3" customFormat="1" ht="9.75">
      <c r="A18" s="18" t="s">
        <v>1</v>
      </c>
      <c r="B18" s="30">
        <f aca="true" t="shared" si="6" ref="B18:L18">B17*B14</f>
        <v>0.009856647485512675</v>
      </c>
      <c r="C18" s="31">
        <f t="shared" si="6"/>
        <v>0</v>
      </c>
      <c r="D18" s="31">
        <f t="shared" si="6"/>
        <v>0</v>
      </c>
      <c r="E18" s="31">
        <f t="shared" si="6"/>
        <v>0</v>
      </c>
      <c r="F18" s="31">
        <f t="shared" si="6"/>
        <v>0</v>
      </c>
      <c r="G18" s="31">
        <f t="shared" si="6"/>
        <v>0</v>
      </c>
      <c r="H18" s="31">
        <f t="shared" si="6"/>
        <v>0</v>
      </c>
      <c r="I18" s="31">
        <f t="shared" si="6"/>
        <v>0</v>
      </c>
      <c r="J18" s="31">
        <f t="shared" si="6"/>
        <v>0</v>
      </c>
      <c r="K18" s="31">
        <f t="shared" si="6"/>
        <v>0</v>
      </c>
      <c r="L18" s="31">
        <f t="shared" si="6"/>
        <v>0.003965307060569677</v>
      </c>
      <c r="M18" s="12"/>
    </row>
    <row r="19" spans="1:13" s="3" customFormat="1" ht="9.75">
      <c r="A19" s="18" t="s">
        <v>71</v>
      </c>
      <c r="B19" s="27">
        <f aca="true" t="shared" si="7" ref="B19:L19">B9</f>
        <v>0.004757373929590866</v>
      </c>
      <c r="C19" s="29">
        <f t="shared" si="7"/>
        <v>0</v>
      </c>
      <c r="D19" s="29">
        <f t="shared" si="7"/>
        <v>0</v>
      </c>
      <c r="E19" s="29">
        <f t="shared" si="7"/>
        <v>0</v>
      </c>
      <c r="F19" s="29">
        <f t="shared" si="7"/>
        <v>0.9514747859181731</v>
      </c>
      <c r="G19" s="29">
        <f t="shared" si="7"/>
        <v>0</v>
      </c>
      <c r="H19" s="29">
        <f t="shared" si="7"/>
        <v>0</v>
      </c>
      <c r="I19" s="29">
        <f t="shared" si="7"/>
        <v>0</v>
      </c>
      <c r="J19" s="29">
        <f t="shared" si="7"/>
        <v>0.019029495718363463</v>
      </c>
      <c r="K19" s="29">
        <f t="shared" si="7"/>
        <v>0</v>
      </c>
      <c r="L19" s="29">
        <f t="shared" si="7"/>
        <v>0.001902949571836346</v>
      </c>
      <c r="M19" s="12"/>
    </row>
    <row r="20" spans="1:13" s="3" customFormat="1" ht="9.75">
      <c r="A20" s="18" t="s">
        <v>2</v>
      </c>
      <c r="B20" s="30">
        <f aca="true" t="shared" si="8" ref="B20:L20">B19*B14</f>
        <v>0.007102111984327373</v>
      </c>
      <c r="C20" s="31">
        <f t="shared" si="8"/>
        <v>0</v>
      </c>
      <c r="D20" s="31">
        <f t="shared" si="8"/>
        <v>0</v>
      </c>
      <c r="E20" s="31">
        <f t="shared" si="8"/>
        <v>0</v>
      </c>
      <c r="F20" s="31">
        <f t="shared" si="8"/>
        <v>0</v>
      </c>
      <c r="G20" s="31">
        <f t="shared" si="8"/>
        <v>0</v>
      </c>
      <c r="H20" s="31">
        <f t="shared" si="8"/>
        <v>0</v>
      </c>
      <c r="I20" s="31">
        <f t="shared" si="8"/>
        <v>0</v>
      </c>
      <c r="J20" s="31">
        <f t="shared" si="8"/>
        <v>0</v>
      </c>
      <c r="K20" s="31">
        <f t="shared" si="8"/>
        <v>0</v>
      </c>
      <c r="L20" s="31">
        <f t="shared" si="8"/>
        <v>0.001139597012858036</v>
      </c>
      <c r="M20" s="12"/>
    </row>
    <row r="21" spans="1:13" s="3" customFormat="1" ht="9.75">
      <c r="A21" s="18" t="s">
        <v>72</v>
      </c>
      <c r="B21" s="27">
        <f aca="true" t="shared" si="9" ref="B21:L21">B17+B19</f>
        <v>0.011359882857107642</v>
      </c>
      <c r="C21" s="29">
        <f t="shared" si="9"/>
        <v>0</v>
      </c>
      <c r="D21" s="29">
        <f t="shared" si="9"/>
        <v>0</v>
      </c>
      <c r="E21" s="29">
        <f t="shared" si="9"/>
        <v>0</v>
      </c>
      <c r="F21" s="29">
        <f t="shared" si="9"/>
        <v>0.9514747859181731</v>
      </c>
      <c r="G21" s="29">
        <f t="shared" si="9"/>
        <v>0</v>
      </c>
      <c r="H21" s="29">
        <f t="shared" si="9"/>
        <v>0</v>
      </c>
      <c r="I21" s="29">
        <f t="shared" si="9"/>
        <v>0</v>
      </c>
      <c r="J21" s="29">
        <f t="shared" si="9"/>
        <v>0.019029495718363463</v>
      </c>
      <c r="K21" s="29">
        <f t="shared" si="9"/>
        <v>0</v>
      </c>
      <c r="L21" s="29">
        <f t="shared" si="9"/>
        <v>0.008524394949432043</v>
      </c>
      <c r="M21" s="12"/>
    </row>
    <row r="22" spans="1:13" s="3" customFormat="1" ht="9.75">
      <c r="A22" s="18" t="s">
        <v>3</v>
      </c>
      <c r="B22" s="30">
        <f aca="true" t="shared" si="10" ref="B22:L22">B18+B20</f>
        <v>0.016958759469840046</v>
      </c>
      <c r="C22" s="31">
        <f t="shared" si="10"/>
        <v>0</v>
      </c>
      <c r="D22" s="31">
        <f t="shared" si="10"/>
        <v>0</v>
      </c>
      <c r="E22" s="31">
        <f t="shared" si="10"/>
        <v>0</v>
      </c>
      <c r="F22" s="31">
        <f t="shared" si="10"/>
        <v>0</v>
      </c>
      <c r="G22" s="31">
        <f t="shared" si="10"/>
        <v>0</v>
      </c>
      <c r="H22" s="31">
        <f t="shared" si="10"/>
        <v>0</v>
      </c>
      <c r="I22" s="31">
        <f t="shared" si="10"/>
        <v>0</v>
      </c>
      <c r="J22" s="31">
        <f t="shared" si="10"/>
        <v>0</v>
      </c>
      <c r="K22" s="31">
        <f t="shared" si="10"/>
        <v>0</v>
      </c>
      <c r="L22" s="31">
        <f t="shared" si="10"/>
        <v>0.005104904073427713</v>
      </c>
      <c r="M22" s="12"/>
    </row>
    <row r="23" spans="1:13" s="3" customFormat="1" ht="9.75">
      <c r="A23" s="18" t="s">
        <v>77</v>
      </c>
      <c r="B23" s="27">
        <f aca="true" t="shared" si="11" ref="B23:L23">IF(B4&gt;0,100%-B21,B10)</f>
        <v>0.9886401171428923</v>
      </c>
      <c r="C23" s="29">
        <f t="shared" si="11"/>
        <v>0</v>
      </c>
      <c r="D23" s="29">
        <f t="shared" si="11"/>
        <v>0</v>
      </c>
      <c r="E23" s="29">
        <f t="shared" si="11"/>
        <v>0</v>
      </c>
      <c r="F23" s="29">
        <f t="shared" si="11"/>
        <v>0.04852521408182686</v>
      </c>
      <c r="G23" s="29">
        <f t="shared" si="11"/>
        <v>0</v>
      </c>
      <c r="H23" s="29">
        <f t="shared" si="11"/>
        <v>0</v>
      </c>
      <c r="I23" s="29">
        <f t="shared" si="11"/>
        <v>0</v>
      </c>
      <c r="J23" s="29">
        <f t="shared" si="11"/>
        <v>0.9809705042816366</v>
      </c>
      <c r="K23" s="29">
        <f t="shared" si="11"/>
        <v>0</v>
      </c>
      <c r="L23" s="29">
        <f t="shared" si="11"/>
        <v>0.991475605050568</v>
      </c>
      <c r="M23" s="12"/>
    </row>
    <row r="24" spans="1:13" s="3" customFormat="1" ht="9.75">
      <c r="A24" s="18" t="s">
        <v>4</v>
      </c>
      <c r="B24" s="30">
        <f aca="true" t="shared" si="12" ref="B24:L24">B23*B14</f>
        <v>1.4759051796357736</v>
      </c>
      <c r="C24" s="31">
        <f t="shared" si="12"/>
        <v>0</v>
      </c>
      <c r="D24" s="31">
        <f t="shared" si="12"/>
        <v>0</v>
      </c>
      <c r="E24" s="31">
        <f t="shared" si="12"/>
        <v>0</v>
      </c>
      <c r="F24" s="31">
        <f t="shared" si="12"/>
        <v>0</v>
      </c>
      <c r="G24" s="31">
        <f t="shared" si="12"/>
        <v>0</v>
      </c>
      <c r="H24" s="31">
        <f t="shared" si="12"/>
        <v>0</v>
      </c>
      <c r="I24" s="31">
        <f t="shared" si="12"/>
        <v>0</v>
      </c>
      <c r="J24" s="31">
        <f t="shared" si="12"/>
        <v>0</v>
      </c>
      <c r="K24" s="31">
        <f t="shared" si="12"/>
        <v>0</v>
      </c>
      <c r="L24" s="31">
        <f t="shared" si="12"/>
        <v>0.5937533261834704</v>
      </c>
      <c r="M24" s="12"/>
    </row>
    <row r="25" spans="1:13" s="3" customFormat="1" ht="9.75">
      <c r="A25" s="18"/>
      <c r="B25" s="27"/>
      <c r="C25" s="28"/>
      <c r="D25" s="29"/>
      <c r="E25" s="29"/>
      <c r="F25" s="29"/>
      <c r="G25" s="29"/>
      <c r="H25" s="29"/>
      <c r="I25" s="29"/>
      <c r="J25" s="29"/>
      <c r="K25" s="29"/>
      <c r="L25" s="29"/>
      <c r="M25" s="12"/>
    </row>
    <row r="26" spans="1:13" s="3" customFormat="1" ht="9.75">
      <c r="A26" s="71" t="s">
        <v>73</v>
      </c>
      <c r="B26" s="27"/>
      <c r="C26" s="28"/>
      <c r="D26" s="29"/>
      <c r="E26" s="29"/>
      <c r="F26" s="29"/>
      <c r="G26" s="29"/>
      <c r="H26" s="29"/>
      <c r="I26" s="29"/>
      <c r="J26" s="29"/>
      <c r="K26" s="29"/>
      <c r="L26" s="29"/>
      <c r="M26" s="12"/>
    </row>
    <row r="27" spans="1:13" s="3" customFormat="1" ht="9.75">
      <c r="A27" s="18" t="s">
        <v>70</v>
      </c>
      <c r="B27" s="27">
        <f aca="true" t="shared" si="13" ref="B27:L27">B17*B8</f>
        <v>3.141060384165926E-05</v>
      </c>
      <c r="C27" s="28">
        <f t="shared" si="13"/>
        <v>0</v>
      </c>
      <c r="D27" s="28">
        <f t="shared" si="13"/>
        <v>0</v>
      </c>
      <c r="E27" s="28">
        <f t="shared" si="13"/>
        <v>0</v>
      </c>
      <c r="F27" s="28">
        <f t="shared" si="13"/>
        <v>0</v>
      </c>
      <c r="G27" s="28">
        <f t="shared" si="13"/>
        <v>0</v>
      </c>
      <c r="H27" s="28">
        <f t="shared" si="13"/>
        <v>0</v>
      </c>
      <c r="I27" s="28">
        <f t="shared" si="13"/>
        <v>0</v>
      </c>
      <c r="J27" s="28">
        <f t="shared" si="13"/>
        <v>0</v>
      </c>
      <c r="K27" s="28">
        <f t="shared" si="13"/>
        <v>0</v>
      </c>
      <c r="L27" s="28">
        <f t="shared" si="13"/>
        <v>1.2600276646233482E-05</v>
      </c>
      <c r="M27" s="12"/>
    </row>
    <row r="28" spans="1:13" s="3" customFormat="1" ht="9.75">
      <c r="A28" s="18"/>
      <c r="B28" s="27"/>
      <c r="C28" s="28"/>
      <c r="D28" s="28"/>
      <c r="E28" s="28"/>
      <c r="F28" s="28"/>
      <c r="G28" s="28"/>
      <c r="H28" s="28"/>
      <c r="I28" s="28"/>
      <c r="J28" s="28"/>
      <c r="K28" s="28"/>
      <c r="L28" s="28"/>
      <c r="M28" s="12"/>
    </row>
    <row r="29" spans="1:13" s="3" customFormat="1" ht="9.75">
      <c r="A29" s="18" t="s">
        <v>75</v>
      </c>
      <c r="B29" s="30">
        <f>IF(B4*B12&gt;0,'ISP Models'!B$14*B10,0)</f>
        <v>1.4928639391056138</v>
      </c>
      <c r="C29" s="31">
        <f>IF(C4*C12&gt;0,'ISP Models'!C$14*C10,0)</f>
        <v>0</v>
      </c>
      <c r="D29" s="31">
        <f>IF(D4*D12&gt;0,'ISP Models'!D$14*D10,0)</f>
        <v>0</v>
      </c>
      <c r="E29" s="31">
        <f>IF(E4*E12&gt;0,'ISP Models'!E$14*E10,0)</f>
        <v>0</v>
      </c>
      <c r="F29" s="31">
        <f>IF(F4*F12&gt;0,'ISP Models'!F$14*F10,0)</f>
        <v>0</v>
      </c>
      <c r="G29" s="31">
        <f>IF(G4*G12&gt;0,'ISP Models'!G$14*G10,0)</f>
        <v>0</v>
      </c>
      <c r="H29" s="31">
        <f>IF(H4*H12&gt;0,'ISP Models'!H$14*H10,0)</f>
        <v>0</v>
      </c>
      <c r="I29" s="31">
        <f>IF(I4*I12&gt;0,'ISP Models'!I$14*I10,0)</f>
        <v>0</v>
      </c>
      <c r="J29" s="31">
        <f>IF(J4*J12&gt;0,'ISP Models'!J$14*J10,0)</f>
        <v>0</v>
      </c>
      <c r="K29" s="31">
        <f>IF(K4*K12&gt;0,'ISP Models'!K$14*K10,0)</f>
        <v>0</v>
      </c>
      <c r="L29" s="31">
        <f>IF(L4*L12&gt;0,'ISP Models'!L$14*L10,0)</f>
        <v>0.5988582302568982</v>
      </c>
      <c r="M29" s="12"/>
    </row>
    <row r="30" spans="1:13" s="3" customFormat="1" ht="9.75">
      <c r="A30" s="18" t="s">
        <v>74</v>
      </c>
      <c r="B30" s="30">
        <f aca="true" t="shared" si="14" ref="B30:L30">B29-B22</f>
        <v>1.4759051796357738</v>
      </c>
      <c r="C30" s="31">
        <f t="shared" si="14"/>
        <v>0</v>
      </c>
      <c r="D30" s="31">
        <f t="shared" si="14"/>
        <v>0</v>
      </c>
      <c r="E30" s="31">
        <f t="shared" si="14"/>
        <v>0</v>
      </c>
      <c r="F30" s="31">
        <f t="shared" si="14"/>
        <v>0</v>
      </c>
      <c r="G30" s="31">
        <f t="shared" si="14"/>
        <v>0</v>
      </c>
      <c r="H30" s="31">
        <f t="shared" si="14"/>
        <v>0</v>
      </c>
      <c r="I30" s="31">
        <f t="shared" si="14"/>
        <v>0</v>
      </c>
      <c r="J30" s="31">
        <f t="shared" si="14"/>
        <v>0</v>
      </c>
      <c r="K30" s="31">
        <f t="shared" si="14"/>
        <v>0</v>
      </c>
      <c r="L30" s="31">
        <f t="shared" si="14"/>
        <v>0.5937533261834705</v>
      </c>
      <c r="M30" s="12"/>
    </row>
    <row r="31" spans="1:13" s="3" customFormat="1" ht="10.5" thickBot="1">
      <c r="A31" s="18"/>
      <c r="B31" s="32"/>
      <c r="C31" s="33"/>
      <c r="D31" s="33"/>
      <c r="E31" s="33"/>
      <c r="F31" s="33"/>
      <c r="G31" s="33"/>
      <c r="H31" s="33"/>
      <c r="I31" s="33"/>
      <c r="J31" s="33"/>
      <c r="K31" s="33"/>
      <c r="L31" s="33"/>
      <c r="M31" s="12"/>
    </row>
    <row r="32" spans="1:13" s="3" customFormat="1" ht="10.5" thickTop="1">
      <c r="A32" s="18" t="s">
        <v>7</v>
      </c>
      <c r="B32" s="25">
        <f aca="true" t="shared" si="15" ref="B32:L32">B29-B30</f>
        <v>0.016958759469839935</v>
      </c>
      <c r="C32" s="26">
        <f t="shared" si="15"/>
        <v>0</v>
      </c>
      <c r="D32" s="26">
        <f t="shared" si="15"/>
        <v>0</v>
      </c>
      <c r="E32" s="26">
        <f t="shared" si="15"/>
        <v>0</v>
      </c>
      <c r="F32" s="26">
        <f t="shared" si="15"/>
        <v>0</v>
      </c>
      <c r="G32" s="26">
        <f t="shared" si="15"/>
        <v>0</v>
      </c>
      <c r="H32" s="26">
        <f t="shared" si="15"/>
        <v>0</v>
      </c>
      <c r="I32" s="26">
        <f t="shared" si="15"/>
        <v>0</v>
      </c>
      <c r="J32" s="26">
        <f t="shared" si="15"/>
        <v>0</v>
      </c>
      <c r="K32" s="26">
        <f t="shared" si="15"/>
        <v>0</v>
      </c>
      <c r="L32" s="26">
        <f t="shared" si="15"/>
        <v>0.005104904073427674</v>
      </c>
      <c r="M32" s="12"/>
    </row>
    <row r="33" spans="1:13" s="3" customFormat="1" ht="9.75">
      <c r="A33" s="18" t="s">
        <v>79</v>
      </c>
      <c r="B33" s="34">
        <f aca="true" t="shared" si="16" ref="B33:L33">B32/B2</f>
        <v>0.003391751893967987</v>
      </c>
      <c r="C33" s="35">
        <f t="shared" si="16"/>
        <v>0</v>
      </c>
      <c r="D33" s="35">
        <f t="shared" si="16"/>
        <v>0</v>
      </c>
      <c r="E33" s="35">
        <f t="shared" si="16"/>
        <v>0</v>
      </c>
      <c r="F33" s="35">
        <f t="shared" si="16"/>
        <v>0</v>
      </c>
      <c r="G33" s="35">
        <f t="shared" si="16"/>
        <v>0</v>
      </c>
      <c r="H33" s="35">
        <f t="shared" si="16"/>
        <v>0</v>
      </c>
      <c r="I33" s="35">
        <f t="shared" si="16"/>
        <v>0</v>
      </c>
      <c r="J33" s="35">
        <f t="shared" si="16"/>
        <v>0</v>
      </c>
      <c r="K33" s="35">
        <f t="shared" si="16"/>
        <v>0</v>
      </c>
      <c r="L33" s="35">
        <f t="shared" si="16"/>
        <v>0.002552452036713837</v>
      </c>
      <c r="M33" s="12"/>
    </row>
    <row r="34" spans="1:13" s="3" customFormat="1" ht="9.75">
      <c r="A34" s="18" t="s">
        <v>82</v>
      </c>
      <c r="B34" s="36">
        <f>B32*'ISP Models'!B$8*12</f>
        <v>529.1132954590059</v>
      </c>
      <c r="C34" s="37">
        <f>C32*'ISP Models'!C$8*12</f>
        <v>0</v>
      </c>
      <c r="D34" s="37">
        <f>D32*'ISP Models'!D$8*12</f>
        <v>0</v>
      </c>
      <c r="E34" s="37">
        <f>E32*'ISP Models'!E$8*12</f>
        <v>0</v>
      </c>
      <c r="F34" s="37">
        <f>F32*'ISP Models'!F$8*12</f>
        <v>0</v>
      </c>
      <c r="G34" s="37">
        <f>G32*'ISP Models'!G$8*12</f>
        <v>0</v>
      </c>
      <c r="H34" s="37">
        <f>H32*'ISP Models'!H$8*12</f>
        <v>0</v>
      </c>
      <c r="I34" s="37">
        <f>I32*'ISP Models'!I$8*12</f>
        <v>0</v>
      </c>
      <c r="J34" s="37">
        <f>J32*'ISP Models'!J$8*12</f>
        <v>0</v>
      </c>
      <c r="K34" s="37">
        <f>K32*'ISP Models'!K$8*12</f>
        <v>0</v>
      </c>
      <c r="L34" s="37">
        <f>L32*'ISP Models'!L$8*12</f>
        <v>159.27300709094342</v>
      </c>
      <c r="M34" s="12"/>
    </row>
    <row r="35" spans="1:13" s="3" customFormat="1" ht="9.75">
      <c r="A35" s="18"/>
      <c r="B35" s="36"/>
      <c r="C35" s="37"/>
      <c r="D35" s="37"/>
      <c r="E35" s="37"/>
      <c r="F35" s="37"/>
      <c r="G35" s="37"/>
      <c r="H35" s="37"/>
      <c r="I35" s="37"/>
      <c r="J35" s="37"/>
      <c r="K35" s="37"/>
      <c r="L35" s="37"/>
      <c r="M35" s="12"/>
    </row>
    <row r="36" spans="1:13" s="3" customFormat="1" ht="9.75">
      <c r="A36" s="18" t="s">
        <v>9</v>
      </c>
      <c r="B36" s="38">
        <f>ROUNDUP(B32/'ISP Models'!$B$27,0)</f>
        <v>1</v>
      </c>
      <c r="C36" s="39">
        <f>ROUNDUP(C32/'ISP Models'!$B$27,0)</f>
        <v>0</v>
      </c>
      <c r="D36" s="40">
        <f>ROUNDUP(D32/'ISP Models'!$B$27,0)</f>
        <v>0</v>
      </c>
      <c r="E36" s="40">
        <f>ROUNDUP(E32/'ISP Models'!$B$27,0)</f>
        <v>0</v>
      </c>
      <c r="F36" s="40">
        <f>ROUNDUP(F32/'ISP Models'!$B$27,0)</f>
        <v>0</v>
      </c>
      <c r="G36" s="40">
        <f>ROUNDUP(G32/'ISP Models'!$B$27,0)</f>
        <v>0</v>
      </c>
      <c r="H36" s="40">
        <f>ROUNDUP(H32/'ISP Models'!$B$27,0)</f>
        <v>0</v>
      </c>
      <c r="I36" s="40">
        <f>ROUNDUP(I32/'ISP Models'!$B$27,0)</f>
        <v>0</v>
      </c>
      <c r="J36" s="40">
        <f>ROUNDUP(J32/'ISP Models'!$B$27,0)</f>
        <v>0</v>
      </c>
      <c r="K36" s="40">
        <f>ROUNDUP(K32/'ISP Models'!$B$27,0)</f>
        <v>0</v>
      </c>
      <c r="L36" s="40">
        <f>ROUNDUP(L32/'ISP Models'!$B$27,0)</f>
        <v>1</v>
      </c>
      <c r="M36" s="12"/>
    </row>
    <row r="37" spans="1:13" s="3" customFormat="1" ht="9.75">
      <c r="A37" s="18" t="s">
        <v>10</v>
      </c>
      <c r="B37" s="41">
        <f>B36*'ISP Models'!$B$27</f>
        <v>0.064</v>
      </c>
      <c r="C37" s="42">
        <f>C36*'ISP Models'!$B$27</f>
        <v>0</v>
      </c>
      <c r="D37" s="43">
        <f>D36*'ISP Models'!$B$27</f>
        <v>0</v>
      </c>
      <c r="E37" s="43">
        <f>E36*'ISP Models'!$B$27</f>
        <v>0</v>
      </c>
      <c r="F37" s="43">
        <f>F36*'ISP Models'!$B$27</f>
        <v>0</v>
      </c>
      <c r="G37" s="43">
        <f>G36*'ISP Models'!$B$27</f>
        <v>0</v>
      </c>
      <c r="H37" s="43">
        <f>H36*'ISP Models'!$B$27</f>
        <v>0</v>
      </c>
      <c r="I37" s="43">
        <f>I36*'ISP Models'!$B$27</f>
        <v>0</v>
      </c>
      <c r="J37" s="43">
        <f>J36*'ISP Models'!$B$27</f>
        <v>0</v>
      </c>
      <c r="K37" s="43">
        <f>K36*'ISP Models'!$B$27</f>
        <v>0</v>
      </c>
      <c r="L37" s="43">
        <f>L36*'ISP Models'!$B$27</f>
        <v>0.064</v>
      </c>
      <c r="M37" s="12"/>
    </row>
    <row r="38" spans="1:13" s="3" customFormat="1" ht="9.75">
      <c r="A38" s="18" t="s">
        <v>11</v>
      </c>
      <c r="B38" s="41">
        <f aca="true" t="shared" si="17" ref="B38:L38">B37-B32</f>
        <v>0.04704124053016007</v>
      </c>
      <c r="C38" s="42">
        <f t="shared" si="17"/>
        <v>0</v>
      </c>
      <c r="D38" s="43">
        <f t="shared" si="17"/>
        <v>0</v>
      </c>
      <c r="E38" s="43">
        <f t="shared" si="17"/>
        <v>0</v>
      </c>
      <c r="F38" s="43">
        <f t="shared" si="17"/>
        <v>0</v>
      </c>
      <c r="G38" s="43">
        <f t="shared" si="17"/>
        <v>0</v>
      </c>
      <c r="H38" s="43">
        <f t="shared" si="17"/>
        <v>0</v>
      </c>
      <c r="I38" s="43">
        <f t="shared" si="17"/>
        <v>0</v>
      </c>
      <c r="J38" s="43">
        <f t="shared" si="17"/>
        <v>0</v>
      </c>
      <c r="K38" s="43">
        <f t="shared" si="17"/>
        <v>0</v>
      </c>
      <c r="L38" s="43">
        <f t="shared" si="17"/>
        <v>0.05889509592657233</v>
      </c>
      <c r="M38" s="12"/>
    </row>
    <row r="39" spans="1:13" s="3" customFormat="1" ht="9.75">
      <c r="A39" s="18" t="s">
        <v>83</v>
      </c>
      <c r="B39" s="36">
        <f>B37*'ISP Models'!B$17*12</f>
        <v>768</v>
      </c>
      <c r="C39" s="44">
        <f>C37*'ISP Models'!C$17*12</f>
        <v>0</v>
      </c>
      <c r="D39" s="45">
        <f>D37*'ISP Models'!D$17*12</f>
        <v>0</v>
      </c>
      <c r="E39" s="45">
        <f>E37*'ISP Models'!E$17*12</f>
        <v>0</v>
      </c>
      <c r="F39" s="45">
        <f>F37*'ISP Models'!F$17*12</f>
        <v>0</v>
      </c>
      <c r="G39" s="45">
        <f>G37*'ISP Models'!G$17*12</f>
        <v>0</v>
      </c>
      <c r="H39" s="45">
        <f>H37*'ISP Models'!H$17*12</f>
        <v>0</v>
      </c>
      <c r="I39" s="45">
        <f>I37*'ISP Models'!I$17*12</f>
        <v>0</v>
      </c>
      <c r="J39" s="45">
        <f>J37*'ISP Models'!J$17*12</f>
        <v>0</v>
      </c>
      <c r="K39" s="45">
        <f>K37*'ISP Models'!K$17*12</f>
        <v>0</v>
      </c>
      <c r="L39" s="45">
        <f>L37*'ISP Models'!L$17*12</f>
        <v>768</v>
      </c>
      <c r="M39" s="12"/>
    </row>
    <row r="40" spans="1:13" s="3" customFormat="1" ht="9.75">
      <c r="A40" s="18" t="s">
        <v>84</v>
      </c>
      <c r="B40" s="36">
        <f>IF(B12&gt;0,'ISP Models'!$B$28,0)</f>
        <v>1000</v>
      </c>
      <c r="C40" s="44">
        <f>IF(C12&gt;0,'ISP Models'!$B$28,0)</f>
        <v>0</v>
      </c>
      <c r="D40" s="45">
        <f>IF(D12&gt;0,'ISP Models'!$B$28,0)</f>
        <v>0</v>
      </c>
      <c r="E40" s="45">
        <f>IF(E12&gt;0,'ISP Models'!$B$28,0)</f>
        <v>0</v>
      </c>
      <c r="F40" s="45">
        <f>IF(F12&gt;0,'ISP Models'!$B$28,0)</f>
        <v>0</v>
      </c>
      <c r="G40" s="45">
        <f>IF(G12&gt;0,'ISP Models'!$B$28,0)</f>
        <v>0</v>
      </c>
      <c r="H40" s="45">
        <f>IF(H12&gt;0,'ISP Models'!$B$28,0)</f>
        <v>0</v>
      </c>
      <c r="I40" s="45">
        <f>IF(I12&gt;0,'ISP Models'!$B$28,0)</f>
        <v>0</v>
      </c>
      <c r="J40" s="45">
        <f>IF(J12&gt;0,'ISP Models'!$B$28,0)</f>
        <v>0</v>
      </c>
      <c r="K40" s="45">
        <f>IF(K12&gt;0,'ISP Models'!$B$28,0)</f>
        <v>0</v>
      </c>
      <c r="L40" s="45">
        <f>IF(L12&gt;0,'ISP Models'!$B$28,0)</f>
        <v>1000</v>
      </c>
      <c r="M40" s="12"/>
    </row>
    <row r="41" spans="1:13" s="3" customFormat="1" ht="10.5" thickBot="1">
      <c r="A41" s="18"/>
      <c r="B41" s="46"/>
      <c r="C41" s="47"/>
      <c r="D41" s="47"/>
      <c r="E41" s="47"/>
      <c r="F41" s="47"/>
      <c r="G41" s="47"/>
      <c r="H41" s="47"/>
      <c r="I41" s="47"/>
      <c r="J41" s="47"/>
      <c r="K41" s="47"/>
      <c r="L41" s="48"/>
      <c r="M41" s="12"/>
    </row>
    <row r="42" spans="1:13" s="3" customFormat="1" ht="10.5" thickTop="1">
      <c r="A42" s="18" t="s">
        <v>0</v>
      </c>
      <c r="B42" s="36">
        <f aca="true" t="shared" si="18" ref="B42:L42">B34-(B39+B40)</f>
        <v>-1238.886704540994</v>
      </c>
      <c r="C42" s="45">
        <f t="shared" si="18"/>
        <v>0</v>
      </c>
      <c r="D42" s="45">
        <f t="shared" si="18"/>
        <v>0</v>
      </c>
      <c r="E42" s="45">
        <f t="shared" si="18"/>
        <v>0</v>
      </c>
      <c r="F42" s="45">
        <f t="shared" si="18"/>
        <v>0</v>
      </c>
      <c r="G42" s="45">
        <f t="shared" si="18"/>
        <v>0</v>
      </c>
      <c r="H42" s="45">
        <f t="shared" si="18"/>
        <v>0</v>
      </c>
      <c r="I42" s="45">
        <f t="shared" si="18"/>
        <v>0</v>
      </c>
      <c r="J42" s="45">
        <f t="shared" si="18"/>
        <v>0</v>
      </c>
      <c r="K42" s="45">
        <f t="shared" si="18"/>
        <v>0</v>
      </c>
      <c r="L42" s="45">
        <f t="shared" si="18"/>
        <v>-1608.7269929090567</v>
      </c>
      <c r="M42" s="12"/>
    </row>
    <row r="43" spans="1:13" s="3" customFormat="1" ht="9.75">
      <c r="A43" s="18"/>
      <c r="B43" s="27"/>
      <c r="C43" s="28"/>
      <c r="D43" s="28"/>
      <c r="E43" s="28"/>
      <c r="F43" s="28"/>
      <c r="G43" s="28"/>
      <c r="H43" s="28"/>
      <c r="I43" s="28"/>
      <c r="J43" s="28"/>
      <c r="K43" s="28"/>
      <c r="L43" s="28"/>
      <c r="M43" s="12"/>
    </row>
    <row r="44" spans="1:13" s="3" customFormat="1" ht="9.75">
      <c r="A44" s="18" t="s">
        <v>8</v>
      </c>
      <c r="B44" s="30">
        <f aca="true" t="shared" si="19" ref="B44:L44">B32*B$12</f>
        <v>0.016958759469839935</v>
      </c>
      <c r="C44" s="31">
        <f t="shared" si="19"/>
        <v>0</v>
      </c>
      <c r="D44" s="31">
        <f t="shared" si="19"/>
        <v>0</v>
      </c>
      <c r="E44" s="31">
        <f t="shared" si="19"/>
        <v>0</v>
      </c>
      <c r="F44" s="31">
        <f t="shared" si="19"/>
        <v>0</v>
      </c>
      <c r="G44" s="31">
        <f t="shared" si="19"/>
        <v>0</v>
      </c>
      <c r="H44" s="31">
        <f t="shared" si="19"/>
        <v>0</v>
      </c>
      <c r="I44" s="31">
        <f t="shared" si="19"/>
        <v>0</v>
      </c>
      <c r="J44" s="31">
        <f t="shared" si="19"/>
        <v>0</v>
      </c>
      <c r="K44" s="31">
        <f t="shared" si="19"/>
        <v>0</v>
      </c>
      <c r="L44" s="31">
        <f t="shared" si="19"/>
        <v>0.005104904073427674</v>
      </c>
      <c r="M44" s="12"/>
    </row>
    <row r="45" spans="1:13" s="3" customFormat="1" ht="9.75">
      <c r="A45" s="18" t="s">
        <v>80</v>
      </c>
      <c r="B45" s="36">
        <f aca="true" t="shared" si="20" ref="B45:L45">B34*B$12</f>
        <v>529.1132954590059</v>
      </c>
      <c r="C45" s="45">
        <f t="shared" si="20"/>
        <v>0</v>
      </c>
      <c r="D45" s="45">
        <f t="shared" si="20"/>
        <v>0</v>
      </c>
      <c r="E45" s="45">
        <f t="shared" si="20"/>
        <v>0</v>
      </c>
      <c r="F45" s="45">
        <f t="shared" si="20"/>
        <v>0</v>
      </c>
      <c r="G45" s="45">
        <f t="shared" si="20"/>
        <v>0</v>
      </c>
      <c r="H45" s="45">
        <f t="shared" si="20"/>
        <v>0</v>
      </c>
      <c r="I45" s="45">
        <f t="shared" si="20"/>
        <v>0</v>
      </c>
      <c r="J45" s="45">
        <f t="shared" si="20"/>
        <v>0</v>
      </c>
      <c r="K45" s="45">
        <f t="shared" si="20"/>
        <v>0</v>
      </c>
      <c r="L45" s="45">
        <f t="shared" si="20"/>
        <v>159.27300709094342</v>
      </c>
      <c r="M45" s="12"/>
    </row>
    <row r="46" spans="1:13" s="3" customFormat="1" ht="9.75">
      <c r="A46" s="18" t="s">
        <v>5</v>
      </c>
      <c r="B46" s="36">
        <f>B37*'ISP Models'!$B$24*12</f>
        <v>768</v>
      </c>
      <c r="C46" s="37">
        <f>C37*'ISP Models'!$B$24*12</f>
        <v>0</v>
      </c>
      <c r="D46" s="37">
        <f>D37*'ISP Models'!$B$24*12</f>
        <v>0</v>
      </c>
      <c r="E46" s="37">
        <f>E37*'ISP Models'!$B$24*12</f>
        <v>0</v>
      </c>
      <c r="F46" s="37">
        <f>F37*'ISP Models'!$B$24*12</f>
        <v>0</v>
      </c>
      <c r="G46" s="37">
        <f>G37*'ISP Models'!$B$24*12</f>
        <v>0</v>
      </c>
      <c r="H46" s="37">
        <f>H37*'ISP Models'!$B$24*12</f>
        <v>0</v>
      </c>
      <c r="I46" s="37">
        <f>I37*'ISP Models'!$B$24*12</f>
        <v>0</v>
      </c>
      <c r="J46" s="37">
        <f>J37*'ISP Models'!$B$24*12</f>
        <v>0</v>
      </c>
      <c r="K46" s="37">
        <f>K37*'ISP Models'!$B$24*12</f>
        <v>0</v>
      </c>
      <c r="L46" s="37">
        <f>L37*'ISP Models'!$B$24*12</f>
        <v>768</v>
      </c>
      <c r="M46" s="12"/>
    </row>
    <row r="47" spans="1:13" s="3" customFormat="1" ht="9.75">
      <c r="A47" s="18" t="s">
        <v>6</v>
      </c>
      <c r="B47" s="36">
        <f aca="true" t="shared" si="21" ref="B47:L47">B40*B12</f>
        <v>1000</v>
      </c>
      <c r="C47" s="37">
        <f t="shared" si="21"/>
        <v>0</v>
      </c>
      <c r="D47" s="37">
        <f t="shared" si="21"/>
        <v>0</v>
      </c>
      <c r="E47" s="37">
        <f t="shared" si="21"/>
        <v>0</v>
      </c>
      <c r="F47" s="37">
        <f t="shared" si="21"/>
        <v>0</v>
      </c>
      <c r="G47" s="37">
        <f t="shared" si="21"/>
        <v>0</v>
      </c>
      <c r="H47" s="37">
        <f t="shared" si="21"/>
        <v>0</v>
      </c>
      <c r="I47" s="37">
        <f t="shared" si="21"/>
        <v>0</v>
      </c>
      <c r="J47" s="37">
        <f t="shared" si="21"/>
        <v>0</v>
      </c>
      <c r="K47" s="37">
        <f t="shared" si="21"/>
        <v>0</v>
      </c>
      <c r="L47" s="37">
        <f t="shared" si="21"/>
        <v>1000</v>
      </c>
      <c r="M47" s="12"/>
    </row>
    <row r="48" spans="1:13" s="3" customFormat="1" ht="10.5" thickBot="1">
      <c r="A48" s="18"/>
      <c r="B48" s="46"/>
      <c r="C48" s="47"/>
      <c r="D48" s="47"/>
      <c r="E48" s="47"/>
      <c r="F48" s="47"/>
      <c r="G48" s="47"/>
      <c r="H48" s="47"/>
      <c r="I48" s="47"/>
      <c r="J48" s="47"/>
      <c r="K48" s="47"/>
      <c r="L48" s="47"/>
      <c r="M48" s="12"/>
    </row>
    <row r="49" spans="1:13" s="3" customFormat="1" ht="12" thickBot="1" thickTop="1">
      <c r="A49" s="18" t="s">
        <v>0</v>
      </c>
      <c r="B49" s="49">
        <f aca="true" t="shared" si="22" ref="B49:L49">B45-(B46+B47)</f>
        <v>-1238.886704540994</v>
      </c>
      <c r="C49" s="37">
        <f t="shared" si="22"/>
        <v>0</v>
      </c>
      <c r="D49" s="37">
        <f t="shared" si="22"/>
        <v>0</v>
      </c>
      <c r="E49" s="37">
        <f t="shared" si="22"/>
        <v>0</v>
      </c>
      <c r="F49" s="37">
        <f t="shared" si="22"/>
        <v>0</v>
      </c>
      <c r="G49" s="37">
        <f t="shared" si="22"/>
        <v>0</v>
      </c>
      <c r="H49" s="37">
        <f t="shared" si="22"/>
        <v>0</v>
      </c>
      <c r="I49" s="37">
        <f t="shared" si="22"/>
        <v>0</v>
      </c>
      <c r="J49" s="37">
        <f t="shared" si="22"/>
        <v>0</v>
      </c>
      <c r="K49" s="37">
        <f t="shared" si="22"/>
        <v>0</v>
      </c>
      <c r="L49" s="37">
        <f t="shared" si="22"/>
        <v>-1608.7269929090567</v>
      </c>
      <c r="M49" s="12"/>
    </row>
    <row r="50" s="3" customFormat="1" ht="9.75">
      <c r="M50" s="12"/>
    </row>
    <row r="51" spans="1:2" s="3" customFormat="1" ht="9.75">
      <c r="A51" s="3" t="s">
        <v>64</v>
      </c>
      <c r="B51" s="50">
        <f>SUM(B14:L14)/SUM(B5:L5)</f>
        <v>0.006634069677648309</v>
      </c>
    </row>
    <row r="52" s="3" customFormat="1" ht="9.75"/>
    <row r="53" spans="1:2" s="3" customFormat="1" ht="9.75">
      <c r="A53" s="3" t="s">
        <v>81</v>
      </c>
      <c r="B53" s="51">
        <f>SUM(B49:L49)</f>
        <v>-2847.6136974500505</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M53"/>
  <sheetViews>
    <sheetView zoomScalePageLayoutView="0" workbookViewId="0" topLeftCell="A1">
      <selection activeCell="A26" sqref="A26"/>
    </sheetView>
  </sheetViews>
  <sheetFormatPr defaultColWidth="8.8515625" defaultRowHeight="12.75"/>
  <cols>
    <col min="1" max="1" width="40.28125" style="0" bestFit="1" customWidth="1"/>
    <col min="2" max="2" width="8.421875" style="0" bestFit="1" customWidth="1"/>
    <col min="3" max="3" width="6.8515625" style="0" bestFit="1" customWidth="1"/>
    <col min="4" max="4" width="7.140625" style="0" bestFit="1" customWidth="1"/>
    <col min="5" max="7" width="6.28125" style="0" bestFit="1" customWidth="1"/>
    <col min="8" max="8" width="8.421875" style="0" bestFit="1" customWidth="1"/>
    <col min="9" max="9" width="6.28125" style="0" bestFit="1" customWidth="1"/>
    <col min="10" max="10" width="8.421875" style="0" bestFit="1" customWidth="1"/>
    <col min="11" max="11" width="6.28125" style="0" bestFit="1" customWidth="1"/>
    <col min="12" max="12" width="7.7109375" style="0" bestFit="1" customWidth="1"/>
    <col min="13" max="13" width="9.28125" style="0" bestFit="1" customWidth="1"/>
  </cols>
  <sheetData>
    <row r="1" spans="1:13" s="3" customFormat="1" ht="9.75">
      <c r="A1" s="2" t="s">
        <v>12</v>
      </c>
      <c r="B1" s="4" t="s">
        <v>58</v>
      </c>
      <c r="C1" s="5" t="s">
        <v>50</v>
      </c>
      <c r="D1" s="5" t="s">
        <v>51</v>
      </c>
      <c r="E1" s="5" t="s">
        <v>52</v>
      </c>
      <c r="F1" s="6" t="s">
        <v>17</v>
      </c>
      <c r="G1" s="6" t="s">
        <v>18</v>
      </c>
      <c r="H1" s="6" t="s">
        <v>19</v>
      </c>
      <c r="I1" s="7" t="s">
        <v>20</v>
      </c>
      <c r="J1" s="7" t="s">
        <v>21</v>
      </c>
      <c r="K1" s="7" t="s">
        <v>22</v>
      </c>
      <c r="L1" s="7" t="s">
        <v>23</v>
      </c>
      <c r="M1" s="8" t="s">
        <v>59</v>
      </c>
    </row>
    <row r="2" spans="1:13" s="3" customFormat="1" ht="9.75">
      <c r="A2" s="9" t="s">
        <v>57</v>
      </c>
      <c r="B2" s="10">
        <f>'ISP Models'!$B$7</f>
        <v>5</v>
      </c>
      <c r="C2" s="11">
        <f>'ISP Models'!$C$7</f>
        <v>50000</v>
      </c>
      <c r="D2" s="11">
        <f>'ISP Models'!$D$7</f>
        <v>10000</v>
      </c>
      <c r="E2" s="11">
        <f>'ISP Models'!$E$7</f>
        <v>2500</v>
      </c>
      <c r="F2" s="11">
        <f>'ISP Models'!$F$7</f>
        <v>1000</v>
      </c>
      <c r="G2" s="11">
        <f>'ISP Models'!$G$7</f>
        <v>500</v>
      </c>
      <c r="H2" s="11">
        <f>'ISP Models'!$H$7</f>
        <v>250</v>
      </c>
      <c r="I2" s="11">
        <f>'ISP Models'!$I$7</f>
        <v>100</v>
      </c>
      <c r="J2" s="11">
        <f>'ISP Models'!$J$7</f>
        <v>20</v>
      </c>
      <c r="K2" s="11">
        <f>'ISP Models'!$K$7</f>
        <v>5</v>
      </c>
      <c r="L2" s="11">
        <f>'ISP Models'!$L$7</f>
        <v>2</v>
      </c>
      <c r="M2" s="12"/>
    </row>
    <row r="3" spans="1:13" s="3" customFormat="1" ht="9.75">
      <c r="A3" s="9"/>
      <c r="B3" s="10"/>
      <c r="M3" s="12"/>
    </row>
    <row r="4" spans="1:13" s="3" customFormat="1" ht="9.75">
      <c r="A4" s="9" t="s">
        <v>55</v>
      </c>
      <c r="B4" s="13">
        <v>1</v>
      </c>
      <c r="C4" s="14">
        <v>0</v>
      </c>
      <c r="D4" s="14">
        <v>1</v>
      </c>
      <c r="E4" s="14">
        <v>0</v>
      </c>
      <c r="F4" s="14">
        <v>0</v>
      </c>
      <c r="G4" s="14">
        <v>0</v>
      </c>
      <c r="H4" s="14">
        <v>1</v>
      </c>
      <c r="I4" s="14">
        <v>0</v>
      </c>
      <c r="J4" s="14">
        <v>5</v>
      </c>
      <c r="K4" s="14">
        <v>0</v>
      </c>
      <c r="L4" s="14">
        <v>12</v>
      </c>
      <c r="M4" s="12"/>
    </row>
    <row r="5" spans="1:13" s="3" customFormat="1" ht="9.75">
      <c r="A5" s="9" t="s">
        <v>76</v>
      </c>
      <c r="B5" s="15">
        <f>B4*B2*'ISP Models'!B$13</f>
        <v>1.5</v>
      </c>
      <c r="C5" s="16">
        <f>C4*C2*'ISP Models'!C$13</f>
        <v>0</v>
      </c>
      <c r="D5" s="16">
        <f>D4*D2*'ISP Models'!D$13</f>
        <v>3000</v>
      </c>
      <c r="E5" s="16">
        <f>E4*E2*'ISP Models'!E$13</f>
        <v>0</v>
      </c>
      <c r="F5" s="16">
        <f>F4*F2*'ISP Models'!F$13</f>
        <v>0</v>
      </c>
      <c r="G5" s="16">
        <f>G4*G2*'ISP Models'!G$13</f>
        <v>0</v>
      </c>
      <c r="H5" s="16">
        <f>H4*H2*'ISP Models'!H$13</f>
        <v>75</v>
      </c>
      <c r="I5" s="16">
        <f>I4*I2*'ISP Models'!I$13</f>
        <v>0</v>
      </c>
      <c r="J5" s="16">
        <f>J4*J2*'ISP Models'!J$13</f>
        <v>30</v>
      </c>
      <c r="K5" s="16">
        <f>K4*K2*'ISP Models'!K$13</f>
        <v>0</v>
      </c>
      <c r="L5" s="16">
        <f>L4*L2*'ISP Models'!L$13</f>
        <v>7.199999999999999</v>
      </c>
      <c r="M5" s="17">
        <f>SUM(B5:L5)</f>
        <v>3113.7</v>
      </c>
    </row>
    <row r="6" spans="1:13" s="3" customFormat="1" ht="9.75">
      <c r="A6" s="9"/>
      <c r="B6" s="15"/>
      <c r="C6" s="16"/>
      <c r="D6" s="16"/>
      <c r="E6" s="16"/>
      <c r="F6" s="16"/>
      <c r="G6" s="16"/>
      <c r="H6" s="16"/>
      <c r="I6" s="16"/>
      <c r="J6" s="16"/>
      <c r="K6" s="16"/>
      <c r="L6" s="16"/>
      <c r="M6" s="17"/>
    </row>
    <row r="7" spans="1:13" s="3" customFormat="1" ht="9.75">
      <c r="A7" s="71" t="s">
        <v>65</v>
      </c>
      <c r="B7" s="15"/>
      <c r="C7" s="16"/>
      <c r="D7" s="16"/>
      <c r="E7" s="16"/>
      <c r="F7" s="16"/>
      <c r="G7" s="16"/>
      <c r="H7" s="16"/>
      <c r="I7" s="16"/>
      <c r="J7" s="16"/>
      <c r="K7" s="16"/>
      <c r="L7" s="16"/>
      <c r="M7" s="17"/>
    </row>
    <row r="8" spans="1:13" s="3" customFormat="1" ht="9.75">
      <c r="A8" s="18" t="s">
        <v>66</v>
      </c>
      <c r="B8" s="19">
        <f aca="true" t="shared" si="0" ref="B8:L8">IF(B4&gt;0,B5/SUM($B$5:$L$5)/B4,0)</f>
        <v>0.00048174197899604975</v>
      </c>
      <c r="C8" s="20">
        <f t="shared" si="0"/>
        <v>0</v>
      </c>
      <c r="D8" s="20">
        <f t="shared" si="0"/>
        <v>0.9634839579920995</v>
      </c>
      <c r="E8" s="20">
        <f t="shared" si="0"/>
        <v>0</v>
      </c>
      <c r="F8" s="20">
        <f t="shared" si="0"/>
        <v>0</v>
      </c>
      <c r="G8" s="20">
        <f t="shared" si="0"/>
        <v>0</v>
      </c>
      <c r="H8" s="20">
        <f t="shared" si="0"/>
        <v>0.024087098949802488</v>
      </c>
      <c r="I8" s="20">
        <f t="shared" si="0"/>
        <v>0</v>
      </c>
      <c r="J8" s="20">
        <f t="shared" si="0"/>
        <v>0.0019269679159841988</v>
      </c>
      <c r="K8" s="20">
        <f t="shared" si="0"/>
        <v>0</v>
      </c>
      <c r="L8" s="20">
        <f t="shared" si="0"/>
        <v>0.00019269679159841988</v>
      </c>
      <c r="M8" s="12"/>
    </row>
    <row r="9" spans="1:13" s="3" customFormat="1" ht="9.75">
      <c r="A9" s="18" t="s">
        <v>68</v>
      </c>
      <c r="B9" s="19">
        <f aca="true" t="shared" si="1" ref="B9:L9">B8</f>
        <v>0.00048174197899604975</v>
      </c>
      <c r="C9" s="20">
        <f t="shared" si="1"/>
        <v>0</v>
      </c>
      <c r="D9" s="20">
        <f t="shared" si="1"/>
        <v>0.9634839579920995</v>
      </c>
      <c r="E9" s="20">
        <f t="shared" si="1"/>
        <v>0</v>
      </c>
      <c r="F9" s="20">
        <f t="shared" si="1"/>
        <v>0</v>
      </c>
      <c r="G9" s="20">
        <f t="shared" si="1"/>
        <v>0</v>
      </c>
      <c r="H9" s="20">
        <f t="shared" si="1"/>
        <v>0.024087098949802488</v>
      </c>
      <c r="I9" s="20">
        <f t="shared" si="1"/>
        <v>0</v>
      </c>
      <c r="J9" s="20">
        <f t="shared" si="1"/>
        <v>0.0019269679159841988</v>
      </c>
      <c r="K9" s="20">
        <f t="shared" si="1"/>
        <v>0</v>
      </c>
      <c r="L9" s="20">
        <f t="shared" si="1"/>
        <v>0.00019269679159841988</v>
      </c>
      <c r="M9" s="12"/>
    </row>
    <row r="10" spans="1:13" s="3" customFormat="1" ht="9.75">
      <c r="A10" s="18" t="s">
        <v>67</v>
      </c>
      <c r="B10" s="19">
        <f aca="true" t="shared" si="2" ref="B10:L10">IF(B4&gt;0,100%-B8,0)</f>
        <v>0.9995182580210039</v>
      </c>
      <c r="C10" s="20">
        <f t="shared" si="2"/>
        <v>0</v>
      </c>
      <c r="D10" s="20">
        <f t="shared" si="2"/>
        <v>0.036516042007900484</v>
      </c>
      <c r="E10" s="20">
        <f t="shared" si="2"/>
        <v>0</v>
      </c>
      <c r="F10" s="20">
        <f t="shared" si="2"/>
        <v>0</v>
      </c>
      <c r="G10" s="20">
        <f t="shared" si="2"/>
        <v>0</v>
      </c>
      <c r="H10" s="20">
        <f t="shared" si="2"/>
        <v>0.9759129010501975</v>
      </c>
      <c r="I10" s="20">
        <f t="shared" si="2"/>
        <v>0</v>
      </c>
      <c r="J10" s="20">
        <f t="shared" si="2"/>
        <v>0.9980730320840158</v>
      </c>
      <c r="K10" s="20">
        <f t="shared" si="2"/>
        <v>0</v>
      </c>
      <c r="L10" s="20">
        <f t="shared" si="2"/>
        <v>0.9998073032084016</v>
      </c>
      <c r="M10" s="12"/>
    </row>
    <row r="11" spans="1:13" s="3" customFormat="1" ht="9.75">
      <c r="A11" s="18"/>
      <c r="B11" s="19"/>
      <c r="C11" s="20"/>
      <c r="D11" s="20"/>
      <c r="E11" s="20"/>
      <c r="F11" s="20"/>
      <c r="G11" s="20"/>
      <c r="H11" s="20"/>
      <c r="I11" s="20"/>
      <c r="J11" s="20"/>
      <c r="K11" s="20"/>
      <c r="L11" s="20"/>
      <c r="M11" s="12"/>
    </row>
    <row r="12" spans="1:13" s="3" customFormat="1" ht="9.75">
      <c r="A12" s="3" t="s">
        <v>61</v>
      </c>
      <c r="B12" s="13">
        <v>1</v>
      </c>
      <c r="C12" s="14">
        <v>0</v>
      </c>
      <c r="D12" s="14">
        <v>0</v>
      </c>
      <c r="E12" s="14">
        <v>0</v>
      </c>
      <c r="F12" s="14">
        <v>0</v>
      </c>
      <c r="G12" s="14">
        <v>0</v>
      </c>
      <c r="H12" s="14">
        <v>1</v>
      </c>
      <c r="I12" s="14">
        <v>0</v>
      </c>
      <c r="J12" s="14">
        <v>5</v>
      </c>
      <c r="K12" s="14">
        <v>0</v>
      </c>
      <c r="L12" s="14">
        <v>10</v>
      </c>
      <c r="M12" s="12"/>
    </row>
    <row r="13" spans="1:13" s="3" customFormat="1" ht="9.75">
      <c r="A13" s="9" t="s">
        <v>62</v>
      </c>
      <c r="B13" s="23">
        <f aca="true" t="shared" si="3" ref="B13:L13">IF(ISERR(B12/B4),0,B12/B4)</f>
        <v>1</v>
      </c>
      <c r="C13" s="24">
        <f t="shared" si="3"/>
        <v>0</v>
      </c>
      <c r="D13" s="24">
        <f t="shared" si="3"/>
        <v>0</v>
      </c>
      <c r="E13" s="24">
        <f t="shared" si="3"/>
        <v>0</v>
      </c>
      <c r="F13" s="24">
        <f t="shared" si="3"/>
        <v>0</v>
      </c>
      <c r="G13" s="24">
        <f t="shared" si="3"/>
        <v>0</v>
      </c>
      <c r="H13" s="24">
        <f t="shared" si="3"/>
        <v>1</v>
      </c>
      <c r="I13" s="24">
        <f t="shared" si="3"/>
        <v>0</v>
      </c>
      <c r="J13" s="24">
        <f t="shared" si="3"/>
        <v>1</v>
      </c>
      <c r="K13" s="24">
        <f t="shared" si="3"/>
        <v>0</v>
      </c>
      <c r="L13" s="24">
        <f t="shared" si="3"/>
        <v>0.8333333333333334</v>
      </c>
      <c r="M13" s="12"/>
    </row>
    <row r="14" spans="1:13" s="3" customFormat="1" ht="9.75">
      <c r="A14" s="9" t="s">
        <v>78</v>
      </c>
      <c r="B14" s="25">
        <f aca="true" t="shared" si="4" ref="B14:L14">B13*B5*B10</f>
        <v>1.499277387031506</v>
      </c>
      <c r="C14" s="26">
        <f t="shared" si="4"/>
        <v>0</v>
      </c>
      <c r="D14" s="26">
        <f t="shared" si="4"/>
        <v>0</v>
      </c>
      <c r="E14" s="26">
        <f t="shared" si="4"/>
        <v>0</v>
      </c>
      <c r="F14" s="26">
        <f t="shared" si="4"/>
        <v>0</v>
      </c>
      <c r="G14" s="26">
        <f t="shared" si="4"/>
        <v>0</v>
      </c>
      <c r="H14" s="26">
        <f t="shared" si="4"/>
        <v>73.19346757876481</v>
      </c>
      <c r="I14" s="26">
        <f t="shared" si="4"/>
        <v>0</v>
      </c>
      <c r="J14" s="26">
        <f t="shared" si="4"/>
        <v>29.942190962520474</v>
      </c>
      <c r="K14" s="26">
        <f t="shared" si="4"/>
        <v>0</v>
      </c>
      <c r="L14" s="26">
        <f t="shared" si="4"/>
        <v>5.99884381925041</v>
      </c>
      <c r="M14" s="17">
        <f>SUM(B14:L14)</f>
        <v>110.6337797475672</v>
      </c>
    </row>
    <row r="15" spans="1:13" s="3" customFormat="1" ht="9.75">
      <c r="A15" s="9"/>
      <c r="B15" s="27"/>
      <c r="C15" s="28"/>
      <c r="D15" s="28"/>
      <c r="E15" s="28"/>
      <c r="F15" s="28"/>
      <c r="G15" s="28"/>
      <c r="H15" s="28"/>
      <c r="I15" s="28"/>
      <c r="J15" s="28"/>
      <c r="K15" s="28"/>
      <c r="L15" s="28"/>
      <c r="M15" s="12"/>
    </row>
    <row r="16" spans="1:13" s="3" customFormat="1" ht="9.75">
      <c r="A16" s="71" t="s">
        <v>69</v>
      </c>
      <c r="B16" s="27"/>
      <c r="C16" s="28"/>
      <c r="D16" s="29"/>
      <c r="E16" s="29"/>
      <c r="F16" s="29"/>
      <c r="G16" s="29"/>
      <c r="H16" s="29"/>
      <c r="I16" s="29"/>
      <c r="J16" s="29"/>
      <c r="K16" s="29"/>
      <c r="L16" s="29"/>
      <c r="M16" s="12"/>
    </row>
    <row r="17" spans="1:13" s="3" customFormat="1" ht="9.75">
      <c r="A17" s="18" t="s">
        <v>63</v>
      </c>
      <c r="B17" s="27">
        <f aca="true" t="shared" si="5" ref="B17:L17">IF(B12&gt;0,B10*$B$51,0)</f>
        <v>0.035514173751988884</v>
      </c>
      <c r="C17" s="29">
        <f t="shared" si="5"/>
        <v>0</v>
      </c>
      <c r="D17" s="29">
        <f t="shared" si="5"/>
        <v>0</v>
      </c>
      <c r="E17" s="29">
        <f t="shared" si="5"/>
        <v>0</v>
      </c>
      <c r="F17" s="29">
        <f t="shared" si="5"/>
        <v>0</v>
      </c>
      <c r="G17" s="29">
        <f t="shared" si="5"/>
        <v>0</v>
      </c>
      <c r="H17" s="29">
        <f t="shared" si="5"/>
        <v>0.03467544495217808</v>
      </c>
      <c r="I17" s="29">
        <f t="shared" si="5"/>
        <v>0</v>
      </c>
      <c r="J17" s="29">
        <f t="shared" si="5"/>
        <v>0.03546282300914333</v>
      </c>
      <c r="K17" s="29">
        <f t="shared" si="5"/>
        <v>0</v>
      </c>
      <c r="L17" s="29">
        <f t="shared" si="5"/>
        <v>0.035524443900558</v>
      </c>
      <c r="M17" s="12"/>
    </row>
    <row r="18" spans="1:13" s="3" customFormat="1" ht="9.75">
      <c r="A18" s="18" t="s">
        <v>1</v>
      </c>
      <c r="B18" s="30">
        <f aca="true" t="shared" si="6" ref="B18:L18">B17*B14</f>
        <v>0.05324559762546479</v>
      </c>
      <c r="C18" s="31">
        <f t="shared" si="6"/>
        <v>0</v>
      </c>
      <c r="D18" s="31">
        <f t="shared" si="6"/>
        <v>0</v>
      </c>
      <c r="E18" s="31">
        <f t="shared" si="6"/>
        <v>0</v>
      </c>
      <c r="F18" s="31">
        <f t="shared" si="6"/>
        <v>0</v>
      </c>
      <c r="G18" s="31">
        <f t="shared" si="6"/>
        <v>0</v>
      </c>
      <c r="H18" s="31">
        <f t="shared" si="6"/>
        <v>2.53801605588649</v>
      </c>
      <c r="I18" s="31">
        <f t="shared" si="6"/>
        <v>0</v>
      </c>
      <c r="J18" s="31">
        <f t="shared" si="6"/>
        <v>1.0618346186098344</v>
      </c>
      <c r="K18" s="31">
        <f t="shared" si="6"/>
        <v>0</v>
      </c>
      <c r="L18" s="31">
        <f t="shared" si="6"/>
        <v>0.21310559072517027</v>
      </c>
      <c r="M18" s="12"/>
    </row>
    <row r="19" spans="1:13" s="3" customFormat="1" ht="9.75">
      <c r="A19" s="18" t="s">
        <v>71</v>
      </c>
      <c r="B19" s="27">
        <f aca="true" t="shared" si="7" ref="B19:L19">B9</f>
        <v>0.00048174197899604975</v>
      </c>
      <c r="C19" s="29">
        <f t="shared" si="7"/>
        <v>0</v>
      </c>
      <c r="D19" s="29">
        <f t="shared" si="7"/>
        <v>0.9634839579920995</v>
      </c>
      <c r="E19" s="29">
        <f t="shared" si="7"/>
        <v>0</v>
      </c>
      <c r="F19" s="29">
        <f t="shared" si="7"/>
        <v>0</v>
      </c>
      <c r="G19" s="29">
        <f t="shared" si="7"/>
        <v>0</v>
      </c>
      <c r="H19" s="29">
        <f t="shared" si="7"/>
        <v>0.024087098949802488</v>
      </c>
      <c r="I19" s="29">
        <f t="shared" si="7"/>
        <v>0</v>
      </c>
      <c r="J19" s="29">
        <f t="shared" si="7"/>
        <v>0.0019269679159841988</v>
      </c>
      <c r="K19" s="29">
        <f t="shared" si="7"/>
        <v>0</v>
      </c>
      <c r="L19" s="29">
        <f t="shared" si="7"/>
        <v>0.00019269679159841988</v>
      </c>
      <c r="M19" s="12"/>
    </row>
    <row r="20" spans="1:13" s="3" customFormat="1" ht="9.75">
      <c r="A20" s="18" t="s">
        <v>2</v>
      </c>
      <c r="B20" s="30">
        <f aca="true" t="shared" si="8" ref="B20:L20">B19*B14</f>
        <v>0.0007222648554925841</v>
      </c>
      <c r="C20" s="31">
        <f t="shared" si="8"/>
        <v>0</v>
      </c>
      <c r="D20" s="31">
        <f t="shared" si="8"/>
        <v>0</v>
      </c>
      <c r="E20" s="31">
        <f t="shared" si="8"/>
        <v>0</v>
      </c>
      <c r="F20" s="31">
        <f t="shared" si="8"/>
        <v>0</v>
      </c>
      <c r="G20" s="31">
        <f t="shared" si="8"/>
        <v>0</v>
      </c>
      <c r="H20" s="31">
        <f t="shared" si="8"/>
        <v>1.7630182960488683</v>
      </c>
      <c r="I20" s="31">
        <f t="shared" si="8"/>
        <v>0</v>
      </c>
      <c r="J20" s="31">
        <f t="shared" si="8"/>
        <v>0.05769764131904899</v>
      </c>
      <c r="K20" s="31">
        <f t="shared" si="8"/>
        <v>0</v>
      </c>
      <c r="L20" s="31">
        <f t="shared" si="8"/>
        <v>0.0011559579572695655</v>
      </c>
      <c r="M20" s="12"/>
    </row>
    <row r="21" spans="1:13" s="3" customFormat="1" ht="9.75">
      <c r="A21" s="18" t="s">
        <v>72</v>
      </c>
      <c r="B21" s="27">
        <f aca="true" t="shared" si="9" ref="B21:L21">B17+B19</f>
        <v>0.035995915730984936</v>
      </c>
      <c r="C21" s="29">
        <f t="shared" si="9"/>
        <v>0</v>
      </c>
      <c r="D21" s="29">
        <f t="shared" si="9"/>
        <v>0.9634839579920995</v>
      </c>
      <c r="E21" s="29">
        <f t="shared" si="9"/>
        <v>0</v>
      </c>
      <c r="F21" s="29">
        <f t="shared" si="9"/>
        <v>0</v>
      </c>
      <c r="G21" s="29">
        <f t="shared" si="9"/>
        <v>0</v>
      </c>
      <c r="H21" s="29">
        <f t="shared" si="9"/>
        <v>0.05876254390198057</v>
      </c>
      <c r="I21" s="29">
        <f t="shared" si="9"/>
        <v>0</v>
      </c>
      <c r="J21" s="29">
        <f t="shared" si="9"/>
        <v>0.03738979092512753</v>
      </c>
      <c r="K21" s="29">
        <f t="shared" si="9"/>
        <v>0</v>
      </c>
      <c r="L21" s="29">
        <f t="shared" si="9"/>
        <v>0.03571714069215642</v>
      </c>
      <c r="M21" s="12"/>
    </row>
    <row r="22" spans="1:13" s="3" customFormat="1" ht="9.75">
      <c r="A22" s="18" t="s">
        <v>3</v>
      </c>
      <c r="B22" s="30">
        <f aca="true" t="shared" si="10" ref="B22:L22">B18+B20</f>
        <v>0.053967862480957376</v>
      </c>
      <c r="C22" s="31">
        <f t="shared" si="10"/>
        <v>0</v>
      </c>
      <c r="D22" s="31">
        <f t="shared" si="10"/>
        <v>0</v>
      </c>
      <c r="E22" s="31">
        <f t="shared" si="10"/>
        <v>0</v>
      </c>
      <c r="F22" s="31">
        <f t="shared" si="10"/>
        <v>0</v>
      </c>
      <c r="G22" s="31">
        <f t="shared" si="10"/>
        <v>0</v>
      </c>
      <c r="H22" s="31">
        <f t="shared" si="10"/>
        <v>4.301034351935359</v>
      </c>
      <c r="I22" s="31">
        <f t="shared" si="10"/>
        <v>0</v>
      </c>
      <c r="J22" s="31">
        <f t="shared" si="10"/>
        <v>1.1195322599288835</v>
      </c>
      <c r="K22" s="31">
        <f t="shared" si="10"/>
        <v>0</v>
      </c>
      <c r="L22" s="31">
        <f t="shared" si="10"/>
        <v>0.21426154868243982</v>
      </c>
      <c r="M22" s="12"/>
    </row>
    <row r="23" spans="1:13" s="3" customFormat="1" ht="9.75">
      <c r="A23" s="18" t="s">
        <v>77</v>
      </c>
      <c r="B23" s="27">
        <f aca="true" t="shared" si="11" ref="B23:L23">IF(B4&gt;0,100%-B21,B10)</f>
        <v>0.9640040842690151</v>
      </c>
      <c r="C23" s="29">
        <f t="shared" si="11"/>
        <v>0</v>
      </c>
      <c r="D23" s="29">
        <f t="shared" si="11"/>
        <v>0.036516042007900484</v>
      </c>
      <c r="E23" s="29">
        <f t="shared" si="11"/>
        <v>0</v>
      </c>
      <c r="F23" s="29">
        <f t="shared" si="11"/>
        <v>0</v>
      </c>
      <c r="G23" s="29">
        <f t="shared" si="11"/>
        <v>0</v>
      </c>
      <c r="H23" s="29">
        <f t="shared" si="11"/>
        <v>0.9412374560980195</v>
      </c>
      <c r="I23" s="29">
        <f t="shared" si="11"/>
        <v>0</v>
      </c>
      <c r="J23" s="29">
        <f t="shared" si="11"/>
        <v>0.9626102090748725</v>
      </c>
      <c r="K23" s="29">
        <f t="shared" si="11"/>
        <v>0</v>
      </c>
      <c r="L23" s="29">
        <f t="shared" si="11"/>
        <v>0.9642828593078436</v>
      </c>
      <c r="M23" s="12"/>
    </row>
    <row r="24" spans="1:13" s="3" customFormat="1" ht="9.75">
      <c r="A24" s="18" t="s">
        <v>4</v>
      </c>
      <c r="B24" s="30">
        <f aca="true" t="shared" si="12" ref="B24:L24">B23*B14</f>
        <v>1.4453095245505485</v>
      </c>
      <c r="C24" s="31">
        <f t="shared" si="12"/>
        <v>0</v>
      </c>
      <c r="D24" s="31">
        <f t="shared" si="12"/>
        <v>0</v>
      </c>
      <c r="E24" s="31">
        <f t="shared" si="12"/>
        <v>0</v>
      </c>
      <c r="F24" s="31">
        <f t="shared" si="12"/>
        <v>0</v>
      </c>
      <c r="G24" s="31">
        <f t="shared" si="12"/>
        <v>0</v>
      </c>
      <c r="H24" s="31">
        <f t="shared" si="12"/>
        <v>68.89243322682945</v>
      </c>
      <c r="I24" s="31">
        <f t="shared" si="12"/>
        <v>0</v>
      </c>
      <c r="J24" s="31">
        <f t="shared" si="12"/>
        <v>28.822658702591593</v>
      </c>
      <c r="K24" s="31">
        <f t="shared" si="12"/>
        <v>0</v>
      </c>
      <c r="L24" s="31">
        <f t="shared" si="12"/>
        <v>5.78458227056797</v>
      </c>
      <c r="M24" s="12"/>
    </row>
    <row r="25" spans="1:13" s="3" customFormat="1" ht="9.75">
      <c r="A25" s="18"/>
      <c r="B25" s="27"/>
      <c r="C25" s="28"/>
      <c r="D25" s="29"/>
      <c r="E25" s="29"/>
      <c r="F25" s="29"/>
      <c r="G25" s="29"/>
      <c r="H25" s="29"/>
      <c r="I25" s="29"/>
      <c r="J25" s="29"/>
      <c r="K25" s="29"/>
      <c r="L25" s="29"/>
      <c r="M25" s="12"/>
    </row>
    <row r="26" spans="1:13" s="3" customFormat="1" ht="9.75">
      <c r="A26" s="71" t="s">
        <v>73</v>
      </c>
      <c r="B26" s="27"/>
      <c r="C26" s="28"/>
      <c r="D26" s="29"/>
      <c r="E26" s="29"/>
      <c r="F26" s="29"/>
      <c r="G26" s="29"/>
      <c r="H26" s="29"/>
      <c r="I26" s="29"/>
      <c r="J26" s="29"/>
      <c r="K26" s="29"/>
      <c r="L26" s="29"/>
      <c r="M26" s="12"/>
    </row>
    <row r="27" spans="1:13" s="3" customFormat="1" ht="9.75">
      <c r="A27" s="18" t="s">
        <v>70</v>
      </c>
      <c r="B27" s="27">
        <f aca="true" t="shared" si="13" ref="B27:L27">B17*B8</f>
        <v>1.710866834569269E-05</v>
      </c>
      <c r="C27" s="28">
        <f t="shared" si="13"/>
        <v>0</v>
      </c>
      <c r="D27" s="28">
        <f t="shared" si="13"/>
        <v>0</v>
      </c>
      <c r="E27" s="28">
        <f t="shared" si="13"/>
        <v>0</v>
      </c>
      <c r="F27" s="28">
        <f t="shared" si="13"/>
        <v>0</v>
      </c>
      <c r="G27" s="28">
        <f t="shared" si="13"/>
        <v>0</v>
      </c>
      <c r="H27" s="28">
        <f t="shared" si="13"/>
        <v>0.0008352308736915426</v>
      </c>
      <c r="I27" s="28">
        <f t="shared" si="13"/>
        <v>0</v>
      </c>
      <c r="J27" s="28">
        <f t="shared" si="13"/>
        <v>6.833572214884542E-05</v>
      </c>
      <c r="K27" s="28">
        <f t="shared" si="13"/>
        <v>0</v>
      </c>
      <c r="L27" s="28">
        <f t="shared" si="13"/>
        <v>6.845446362955583E-06</v>
      </c>
      <c r="M27" s="12"/>
    </row>
    <row r="28" spans="1:13" s="3" customFormat="1" ht="9.75">
      <c r="A28" s="18"/>
      <c r="B28" s="27"/>
      <c r="C28" s="28"/>
      <c r="D28" s="28"/>
      <c r="E28" s="28"/>
      <c r="F28" s="28"/>
      <c r="G28" s="28"/>
      <c r="H28" s="28"/>
      <c r="I28" s="28"/>
      <c r="J28" s="28"/>
      <c r="K28" s="28"/>
      <c r="L28" s="28"/>
      <c r="M28" s="12"/>
    </row>
    <row r="29" spans="1:13" s="3" customFormat="1" ht="9.75">
      <c r="A29" s="18" t="s">
        <v>75</v>
      </c>
      <c r="B29" s="30">
        <f>IF(B4*B12&gt;0,'ISP Models'!B$14*B10,0)</f>
        <v>1.499277387031506</v>
      </c>
      <c r="C29" s="31">
        <f>IF(C4*C12&gt;0,'ISP Models'!C$14*C10,0)</f>
        <v>0</v>
      </c>
      <c r="D29" s="31">
        <f>IF(D4*D12&gt;0,'ISP Models'!D$14*D10,0)</f>
        <v>0</v>
      </c>
      <c r="E29" s="31">
        <f>IF(E4*E12&gt;0,'ISP Models'!E$14*E10,0)</f>
        <v>0</v>
      </c>
      <c r="F29" s="31">
        <f>IF(F4*F12&gt;0,'ISP Models'!F$14*F10,0)</f>
        <v>0</v>
      </c>
      <c r="G29" s="31">
        <f>IF(G4*G12&gt;0,'ISP Models'!G$14*G10,0)</f>
        <v>0</v>
      </c>
      <c r="H29" s="31">
        <f>IF(H4*H12&gt;0,'ISP Models'!H$14*H10,0)</f>
        <v>73.19346757876481</v>
      </c>
      <c r="I29" s="31">
        <f>IF(I4*I12&gt;0,'ISP Models'!I$14*I10,0)</f>
        <v>0</v>
      </c>
      <c r="J29" s="31">
        <f>IF(J4*J12&gt;0,'ISP Models'!J$14*J10,0)</f>
        <v>5.988438192504095</v>
      </c>
      <c r="K29" s="31">
        <f>IF(K4*K12&gt;0,'ISP Models'!K$14*K10,0)</f>
        <v>0</v>
      </c>
      <c r="L29" s="31">
        <f>IF(L4*L12&gt;0,'ISP Models'!L$14*L10,0)</f>
        <v>0.5998843819250409</v>
      </c>
      <c r="M29" s="12"/>
    </row>
    <row r="30" spans="1:13" s="3" customFormat="1" ht="9.75">
      <c r="A30" s="18" t="s">
        <v>74</v>
      </c>
      <c r="B30" s="30">
        <f aca="true" t="shared" si="14" ref="B30:L30">B29-B22</f>
        <v>1.4453095245505485</v>
      </c>
      <c r="C30" s="31">
        <f t="shared" si="14"/>
        <v>0</v>
      </c>
      <c r="D30" s="31">
        <f t="shared" si="14"/>
        <v>0</v>
      </c>
      <c r="E30" s="31">
        <f t="shared" si="14"/>
        <v>0</v>
      </c>
      <c r="F30" s="31">
        <f t="shared" si="14"/>
        <v>0</v>
      </c>
      <c r="G30" s="31">
        <f t="shared" si="14"/>
        <v>0</v>
      </c>
      <c r="H30" s="31">
        <f t="shared" si="14"/>
        <v>68.89243322682945</v>
      </c>
      <c r="I30" s="31">
        <f t="shared" si="14"/>
        <v>0</v>
      </c>
      <c r="J30" s="31">
        <f t="shared" si="14"/>
        <v>4.8689059325752115</v>
      </c>
      <c r="K30" s="31">
        <f t="shared" si="14"/>
        <v>0</v>
      </c>
      <c r="L30" s="31">
        <f t="shared" si="14"/>
        <v>0.38562283324260105</v>
      </c>
      <c r="M30" s="12"/>
    </row>
    <row r="31" spans="1:13" s="3" customFormat="1" ht="10.5" thickBot="1">
      <c r="A31" s="18"/>
      <c r="B31" s="32"/>
      <c r="C31" s="33"/>
      <c r="D31" s="33"/>
      <c r="E31" s="33"/>
      <c r="F31" s="33"/>
      <c r="G31" s="33"/>
      <c r="H31" s="33"/>
      <c r="I31" s="33"/>
      <c r="J31" s="33"/>
      <c r="K31" s="33"/>
      <c r="L31" s="33"/>
      <c r="M31" s="12"/>
    </row>
    <row r="32" spans="1:13" s="3" customFormat="1" ht="10.5" thickTop="1">
      <c r="A32" s="18" t="s">
        <v>7</v>
      </c>
      <c r="B32" s="25">
        <f aca="true" t="shared" si="15" ref="B32:L32">B29-B30</f>
        <v>0.05396786248095742</v>
      </c>
      <c r="C32" s="26">
        <f t="shared" si="15"/>
        <v>0</v>
      </c>
      <c r="D32" s="26">
        <f t="shared" si="15"/>
        <v>0</v>
      </c>
      <c r="E32" s="26">
        <f t="shared" si="15"/>
        <v>0</v>
      </c>
      <c r="F32" s="26">
        <f t="shared" si="15"/>
        <v>0</v>
      </c>
      <c r="G32" s="26">
        <f t="shared" si="15"/>
        <v>0</v>
      </c>
      <c r="H32" s="26">
        <f t="shared" si="15"/>
        <v>4.301034351935357</v>
      </c>
      <c r="I32" s="26">
        <f t="shared" si="15"/>
        <v>0</v>
      </c>
      <c r="J32" s="26">
        <f t="shared" si="15"/>
        <v>1.1195322599288833</v>
      </c>
      <c r="K32" s="26">
        <f t="shared" si="15"/>
        <v>0</v>
      </c>
      <c r="L32" s="26">
        <f t="shared" si="15"/>
        <v>0.21426154868243985</v>
      </c>
      <c r="M32" s="12"/>
    </row>
    <row r="33" spans="1:13" s="3" customFormat="1" ht="9.75">
      <c r="A33" s="18" t="s">
        <v>79</v>
      </c>
      <c r="B33" s="34">
        <f aca="true" t="shared" si="16" ref="B33:L33">B32/B2</f>
        <v>0.010793572496191483</v>
      </c>
      <c r="C33" s="35">
        <f t="shared" si="16"/>
        <v>0</v>
      </c>
      <c r="D33" s="35">
        <f t="shared" si="16"/>
        <v>0</v>
      </c>
      <c r="E33" s="35">
        <f t="shared" si="16"/>
        <v>0</v>
      </c>
      <c r="F33" s="35">
        <f t="shared" si="16"/>
        <v>0</v>
      </c>
      <c r="G33" s="35">
        <f t="shared" si="16"/>
        <v>0</v>
      </c>
      <c r="H33" s="35">
        <f t="shared" si="16"/>
        <v>0.01720413740774143</v>
      </c>
      <c r="I33" s="35">
        <f t="shared" si="16"/>
        <v>0</v>
      </c>
      <c r="J33" s="35">
        <f t="shared" si="16"/>
        <v>0.055976612996444165</v>
      </c>
      <c r="K33" s="35">
        <f t="shared" si="16"/>
        <v>0</v>
      </c>
      <c r="L33" s="35">
        <f t="shared" si="16"/>
        <v>0.10713077434121993</v>
      </c>
      <c r="M33" s="12"/>
    </row>
    <row r="34" spans="1:13" s="3" customFormat="1" ht="9.75">
      <c r="A34" s="18" t="s">
        <v>82</v>
      </c>
      <c r="B34" s="36">
        <f>B32*'ISP Models'!B$8*12</f>
        <v>1683.7973094058716</v>
      </c>
      <c r="C34" s="37">
        <f>C32*'ISP Models'!C$8*12</f>
        <v>0</v>
      </c>
      <c r="D34" s="37">
        <f>D32*'ISP Models'!D$8*12</f>
        <v>0</v>
      </c>
      <c r="E34" s="37">
        <f>E32*'ISP Models'!E$8*12</f>
        <v>0</v>
      </c>
      <c r="F34" s="37">
        <f>F32*'ISP Models'!F$8*12</f>
        <v>0</v>
      </c>
      <c r="G34" s="37">
        <f>G32*'ISP Models'!G$8*12</f>
        <v>0</v>
      </c>
      <c r="H34" s="37">
        <f>H32*'ISP Models'!H$8*12</f>
        <v>134192.27178038313</v>
      </c>
      <c r="I34" s="37">
        <f>I32*'ISP Models'!I$8*12</f>
        <v>0</v>
      </c>
      <c r="J34" s="37">
        <f>J32*'ISP Models'!J$8*12</f>
        <v>34929.406509781154</v>
      </c>
      <c r="K34" s="37">
        <f>K32*'ISP Models'!K$8*12</f>
        <v>0</v>
      </c>
      <c r="L34" s="37">
        <f>L32*'ISP Models'!L$8*12</f>
        <v>6684.960318892123</v>
      </c>
      <c r="M34" s="12"/>
    </row>
    <row r="35" spans="1:13" s="3" customFormat="1" ht="9.75">
      <c r="A35" s="18"/>
      <c r="B35" s="36"/>
      <c r="C35" s="37"/>
      <c r="D35" s="37"/>
      <c r="E35" s="37"/>
      <c r="F35" s="37"/>
      <c r="G35" s="37"/>
      <c r="H35" s="37"/>
      <c r="I35" s="37"/>
      <c r="J35" s="37"/>
      <c r="K35" s="37"/>
      <c r="L35" s="37"/>
      <c r="M35" s="12"/>
    </row>
    <row r="36" spans="1:13" s="3" customFormat="1" ht="9.75">
      <c r="A36" s="18" t="s">
        <v>9</v>
      </c>
      <c r="B36" s="38">
        <f>ROUNDUP(B32/'ISP Models'!$B$27,0)</f>
        <v>1</v>
      </c>
      <c r="C36" s="39">
        <f>ROUNDUP(C32/'ISP Models'!$B$27,0)</f>
        <v>0</v>
      </c>
      <c r="D36" s="40">
        <f>ROUNDUP(D32/'ISP Models'!$B$27,0)</f>
        <v>0</v>
      </c>
      <c r="E36" s="40">
        <f>ROUNDUP(E32/'ISP Models'!$B$27,0)</f>
        <v>0</v>
      </c>
      <c r="F36" s="40">
        <f>ROUNDUP(F32/'ISP Models'!$B$27,0)</f>
        <v>0</v>
      </c>
      <c r="G36" s="40">
        <f>ROUNDUP(G32/'ISP Models'!$B$27,0)</f>
        <v>0</v>
      </c>
      <c r="H36" s="40">
        <f>ROUNDUP(H32/'ISP Models'!$B$27,0)</f>
        <v>68</v>
      </c>
      <c r="I36" s="40">
        <f>ROUNDUP(I32/'ISP Models'!$B$27,0)</f>
        <v>0</v>
      </c>
      <c r="J36" s="40">
        <f>ROUNDUP(J32/'ISP Models'!$B$27,0)</f>
        <v>18</v>
      </c>
      <c r="K36" s="40">
        <f>ROUNDUP(K32/'ISP Models'!$B$27,0)</f>
        <v>0</v>
      </c>
      <c r="L36" s="40">
        <f>ROUNDUP(L32/'ISP Models'!$B$27,0)</f>
        <v>4</v>
      </c>
      <c r="M36" s="12"/>
    </row>
    <row r="37" spans="1:13" s="3" customFormat="1" ht="9.75">
      <c r="A37" s="18" t="s">
        <v>10</v>
      </c>
      <c r="B37" s="41">
        <f>B36*'ISP Models'!$B$27</f>
        <v>0.064</v>
      </c>
      <c r="C37" s="42">
        <f>C36*'ISP Models'!$B$27</f>
        <v>0</v>
      </c>
      <c r="D37" s="43">
        <f>D36*'ISP Models'!$B$27</f>
        <v>0</v>
      </c>
      <c r="E37" s="43">
        <f>E36*'ISP Models'!$B$27</f>
        <v>0</v>
      </c>
      <c r="F37" s="43">
        <f>F36*'ISP Models'!$B$27</f>
        <v>0</v>
      </c>
      <c r="G37" s="43">
        <f>G36*'ISP Models'!$B$27</f>
        <v>0</v>
      </c>
      <c r="H37" s="43">
        <f>H36*'ISP Models'!$B$27</f>
        <v>4.352</v>
      </c>
      <c r="I37" s="43">
        <f>I36*'ISP Models'!$B$27</f>
        <v>0</v>
      </c>
      <c r="J37" s="43">
        <f>J36*'ISP Models'!$B$27</f>
        <v>1.1520000000000001</v>
      </c>
      <c r="K37" s="43">
        <f>K36*'ISP Models'!$B$27</f>
        <v>0</v>
      </c>
      <c r="L37" s="43">
        <f>L36*'ISP Models'!$B$27</f>
        <v>0.256</v>
      </c>
      <c r="M37" s="12"/>
    </row>
    <row r="38" spans="1:13" s="3" customFormat="1" ht="9.75">
      <c r="A38" s="18" t="s">
        <v>11</v>
      </c>
      <c r="B38" s="41">
        <f aca="true" t="shared" si="17" ref="B38:L38">B37-B32</f>
        <v>0.010032137519042583</v>
      </c>
      <c r="C38" s="42">
        <f t="shared" si="17"/>
        <v>0</v>
      </c>
      <c r="D38" s="43">
        <f t="shared" si="17"/>
        <v>0</v>
      </c>
      <c r="E38" s="43">
        <f t="shared" si="17"/>
        <v>0</v>
      </c>
      <c r="F38" s="43">
        <f t="shared" si="17"/>
        <v>0</v>
      </c>
      <c r="G38" s="43">
        <f t="shared" si="17"/>
        <v>0</v>
      </c>
      <c r="H38" s="43">
        <f t="shared" si="17"/>
        <v>0.05096564806464343</v>
      </c>
      <c r="I38" s="43">
        <f t="shared" si="17"/>
        <v>0</v>
      </c>
      <c r="J38" s="43">
        <f t="shared" si="17"/>
        <v>0.03246774007111686</v>
      </c>
      <c r="K38" s="43">
        <f t="shared" si="17"/>
        <v>0</v>
      </c>
      <c r="L38" s="43">
        <f t="shared" si="17"/>
        <v>0.041738451317560155</v>
      </c>
      <c r="M38" s="12"/>
    </row>
    <row r="39" spans="1:13" s="3" customFormat="1" ht="9.75">
      <c r="A39" s="18" t="s">
        <v>83</v>
      </c>
      <c r="B39" s="36">
        <f>B37*'ISP Models'!B$17*12</f>
        <v>768</v>
      </c>
      <c r="C39" s="44">
        <f>C37*'ISP Models'!C$17*12</f>
        <v>0</v>
      </c>
      <c r="D39" s="45">
        <f>D37*'ISP Models'!D$17*12</f>
        <v>0</v>
      </c>
      <c r="E39" s="45">
        <f>E37*'ISP Models'!E$17*12</f>
        <v>0</v>
      </c>
      <c r="F39" s="45">
        <f>F37*'ISP Models'!F$17*12</f>
        <v>0</v>
      </c>
      <c r="G39" s="45">
        <f>G37*'ISP Models'!G$17*12</f>
        <v>0</v>
      </c>
      <c r="H39" s="45">
        <f>H37*'ISP Models'!H$17*12</f>
        <v>52224</v>
      </c>
      <c r="I39" s="45">
        <f>I37*'ISP Models'!I$17*12</f>
        <v>0</v>
      </c>
      <c r="J39" s="45">
        <f>J37*'ISP Models'!J$17*12</f>
        <v>13824.000000000004</v>
      </c>
      <c r="K39" s="45">
        <f>K37*'ISP Models'!K$17*12</f>
        <v>0</v>
      </c>
      <c r="L39" s="45">
        <f>L37*'ISP Models'!L$17*12</f>
        <v>3072</v>
      </c>
      <c r="M39" s="12"/>
    </row>
    <row r="40" spans="1:13" s="3" customFormat="1" ht="9.75">
      <c r="A40" s="18" t="s">
        <v>84</v>
      </c>
      <c r="B40" s="36">
        <f>IF(B12&gt;0,'ISP Models'!$B$28,0)</f>
        <v>1000</v>
      </c>
      <c r="C40" s="44">
        <f>IF(C12&gt;0,'ISP Models'!$B$28,0)</f>
        <v>0</v>
      </c>
      <c r="D40" s="45">
        <f>IF(D12&gt;0,'ISP Models'!$B$28,0)</f>
        <v>0</v>
      </c>
      <c r="E40" s="45">
        <f>IF(E12&gt;0,'ISP Models'!$B$28,0)</f>
        <v>0</v>
      </c>
      <c r="F40" s="45">
        <f>IF(F12&gt;0,'ISP Models'!$B$28,0)</f>
        <v>0</v>
      </c>
      <c r="G40" s="45">
        <f>IF(G12&gt;0,'ISP Models'!$B$28,0)</f>
        <v>0</v>
      </c>
      <c r="H40" s="45">
        <f>IF(H12&gt;0,'ISP Models'!$B$28,0)</f>
        <v>1000</v>
      </c>
      <c r="I40" s="45">
        <f>IF(I12&gt;0,'ISP Models'!$B$28,0)</f>
        <v>0</v>
      </c>
      <c r="J40" s="45">
        <f>IF(J12&gt;0,'ISP Models'!$B$28,0)</f>
        <v>1000</v>
      </c>
      <c r="K40" s="45">
        <f>IF(K12&gt;0,'ISP Models'!$B$28,0)</f>
        <v>0</v>
      </c>
      <c r="L40" s="45">
        <f>IF(L12&gt;0,'ISP Models'!$B$28,0)</f>
        <v>1000</v>
      </c>
      <c r="M40" s="12"/>
    </row>
    <row r="41" spans="1:13" s="3" customFormat="1" ht="10.5" thickBot="1">
      <c r="A41" s="18"/>
      <c r="B41" s="46"/>
      <c r="C41" s="47"/>
      <c r="D41" s="47"/>
      <c r="E41" s="47"/>
      <c r="F41" s="47"/>
      <c r="G41" s="47"/>
      <c r="H41" s="47"/>
      <c r="I41" s="47"/>
      <c r="J41" s="47"/>
      <c r="K41" s="47"/>
      <c r="L41" s="48"/>
      <c r="M41" s="12"/>
    </row>
    <row r="42" spans="1:13" s="3" customFormat="1" ht="10.5" thickTop="1">
      <c r="A42" s="18" t="s">
        <v>0</v>
      </c>
      <c r="B42" s="36">
        <f aca="true" t="shared" si="18" ref="B42:L42">B34-(B39+B40)</f>
        <v>-84.2026905941284</v>
      </c>
      <c r="C42" s="45">
        <f t="shared" si="18"/>
        <v>0</v>
      </c>
      <c r="D42" s="45">
        <f t="shared" si="18"/>
        <v>0</v>
      </c>
      <c r="E42" s="45">
        <f t="shared" si="18"/>
        <v>0</v>
      </c>
      <c r="F42" s="45">
        <f t="shared" si="18"/>
        <v>0</v>
      </c>
      <c r="G42" s="45">
        <f t="shared" si="18"/>
        <v>0</v>
      </c>
      <c r="H42" s="45">
        <f t="shared" si="18"/>
        <v>80968.27178038313</v>
      </c>
      <c r="I42" s="45">
        <f t="shared" si="18"/>
        <v>0</v>
      </c>
      <c r="J42" s="45">
        <f t="shared" si="18"/>
        <v>20105.40650978115</v>
      </c>
      <c r="K42" s="45">
        <f t="shared" si="18"/>
        <v>0</v>
      </c>
      <c r="L42" s="45">
        <f t="shared" si="18"/>
        <v>2612.960318892123</v>
      </c>
      <c r="M42" s="12"/>
    </row>
    <row r="43" spans="1:13" s="3" customFormat="1" ht="9.75">
      <c r="A43" s="18"/>
      <c r="B43" s="27"/>
      <c r="C43" s="28"/>
      <c r="D43" s="28"/>
      <c r="E43" s="28"/>
      <c r="F43" s="28"/>
      <c r="G43" s="28"/>
      <c r="H43" s="28"/>
      <c r="I43" s="28"/>
      <c r="J43" s="28"/>
      <c r="K43" s="28"/>
      <c r="L43" s="28"/>
      <c r="M43" s="12"/>
    </row>
    <row r="44" spans="1:13" s="3" customFormat="1" ht="9.75">
      <c r="A44" s="18" t="s">
        <v>8</v>
      </c>
      <c r="B44" s="30">
        <f aca="true" t="shared" si="19" ref="B44:L44">B32*B$12</f>
        <v>0.05396786248095742</v>
      </c>
      <c r="C44" s="31">
        <f t="shared" si="19"/>
        <v>0</v>
      </c>
      <c r="D44" s="31">
        <f t="shared" si="19"/>
        <v>0</v>
      </c>
      <c r="E44" s="31">
        <f t="shared" si="19"/>
        <v>0</v>
      </c>
      <c r="F44" s="31">
        <f t="shared" si="19"/>
        <v>0</v>
      </c>
      <c r="G44" s="31">
        <f t="shared" si="19"/>
        <v>0</v>
      </c>
      <c r="H44" s="31">
        <f t="shared" si="19"/>
        <v>4.301034351935357</v>
      </c>
      <c r="I44" s="31">
        <f t="shared" si="19"/>
        <v>0</v>
      </c>
      <c r="J44" s="31">
        <f t="shared" si="19"/>
        <v>5.597661299644416</v>
      </c>
      <c r="K44" s="31">
        <f t="shared" si="19"/>
        <v>0</v>
      </c>
      <c r="L44" s="31">
        <f t="shared" si="19"/>
        <v>2.1426154868243987</v>
      </c>
      <c r="M44" s="12"/>
    </row>
    <row r="45" spans="1:13" s="3" customFormat="1" ht="9.75">
      <c r="A45" s="18" t="s">
        <v>80</v>
      </c>
      <c r="B45" s="36">
        <f aca="true" t="shared" si="20" ref="B45:L45">B34*B$12</f>
        <v>1683.7973094058716</v>
      </c>
      <c r="C45" s="45">
        <f t="shared" si="20"/>
        <v>0</v>
      </c>
      <c r="D45" s="45">
        <f t="shared" si="20"/>
        <v>0</v>
      </c>
      <c r="E45" s="45">
        <f t="shared" si="20"/>
        <v>0</v>
      </c>
      <c r="F45" s="45">
        <f t="shared" si="20"/>
        <v>0</v>
      </c>
      <c r="G45" s="45">
        <f t="shared" si="20"/>
        <v>0</v>
      </c>
      <c r="H45" s="45">
        <f t="shared" si="20"/>
        <v>134192.27178038313</v>
      </c>
      <c r="I45" s="45">
        <f t="shared" si="20"/>
        <v>0</v>
      </c>
      <c r="J45" s="45">
        <f t="shared" si="20"/>
        <v>174647.03254890576</v>
      </c>
      <c r="K45" s="45">
        <f t="shared" si="20"/>
        <v>0</v>
      </c>
      <c r="L45" s="45">
        <f t="shared" si="20"/>
        <v>66849.60318892123</v>
      </c>
      <c r="M45" s="12"/>
    </row>
    <row r="46" spans="1:13" s="3" customFormat="1" ht="9.75">
      <c r="A46" s="18" t="s">
        <v>5</v>
      </c>
      <c r="B46" s="36">
        <f>B37*'ISP Models'!$B$24*12</f>
        <v>768</v>
      </c>
      <c r="C46" s="37">
        <f>C37*'ISP Models'!$B$24*12</f>
        <v>0</v>
      </c>
      <c r="D46" s="37">
        <f>D37*'ISP Models'!$B$24*12</f>
        <v>0</v>
      </c>
      <c r="E46" s="37">
        <f>E37*'ISP Models'!$B$24*12</f>
        <v>0</v>
      </c>
      <c r="F46" s="37">
        <f>F37*'ISP Models'!$B$24*12</f>
        <v>0</v>
      </c>
      <c r="G46" s="37">
        <f>G37*'ISP Models'!$B$24*12</f>
        <v>0</v>
      </c>
      <c r="H46" s="37">
        <f>H37*'ISP Models'!$B$24*12</f>
        <v>52224</v>
      </c>
      <c r="I46" s="37">
        <f>I37*'ISP Models'!$B$24*12</f>
        <v>0</v>
      </c>
      <c r="J46" s="37">
        <f>J37*'ISP Models'!$B$24*12</f>
        <v>13824.000000000004</v>
      </c>
      <c r="K46" s="37">
        <f>K37*'ISP Models'!$B$24*12</f>
        <v>0</v>
      </c>
      <c r="L46" s="37">
        <f>L37*'ISP Models'!$B$24*12</f>
        <v>3072</v>
      </c>
      <c r="M46" s="12"/>
    </row>
    <row r="47" spans="1:13" s="3" customFormat="1" ht="9.75">
      <c r="A47" s="18" t="s">
        <v>6</v>
      </c>
      <c r="B47" s="36">
        <f aca="true" t="shared" si="21" ref="B47:L47">B40*B12</f>
        <v>1000</v>
      </c>
      <c r="C47" s="37">
        <f t="shared" si="21"/>
        <v>0</v>
      </c>
      <c r="D47" s="37">
        <f t="shared" si="21"/>
        <v>0</v>
      </c>
      <c r="E47" s="37">
        <f t="shared" si="21"/>
        <v>0</v>
      </c>
      <c r="F47" s="37">
        <f t="shared" si="21"/>
        <v>0</v>
      </c>
      <c r="G47" s="37">
        <f t="shared" si="21"/>
        <v>0</v>
      </c>
      <c r="H47" s="37">
        <f t="shared" si="21"/>
        <v>1000</v>
      </c>
      <c r="I47" s="37">
        <f t="shared" si="21"/>
        <v>0</v>
      </c>
      <c r="J47" s="37">
        <f t="shared" si="21"/>
        <v>5000</v>
      </c>
      <c r="K47" s="37">
        <f t="shared" si="21"/>
        <v>0</v>
      </c>
      <c r="L47" s="37">
        <f t="shared" si="21"/>
        <v>10000</v>
      </c>
      <c r="M47" s="12"/>
    </row>
    <row r="48" spans="1:13" s="3" customFormat="1" ht="10.5" thickBot="1">
      <c r="A48" s="18"/>
      <c r="B48" s="46"/>
      <c r="C48" s="47"/>
      <c r="D48" s="47"/>
      <c r="E48" s="47"/>
      <c r="F48" s="47"/>
      <c r="G48" s="47"/>
      <c r="H48" s="47"/>
      <c r="I48" s="47"/>
      <c r="J48" s="47"/>
      <c r="K48" s="47"/>
      <c r="L48" s="47"/>
      <c r="M48" s="12"/>
    </row>
    <row r="49" spans="1:13" s="3" customFormat="1" ht="12" thickBot="1" thickTop="1">
      <c r="A49" s="18" t="s">
        <v>0</v>
      </c>
      <c r="B49" s="49">
        <f aca="true" t="shared" si="22" ref="B49:L49">B45-(B46+B47)</f>
        <v>-84.2026905941284</v>
      </c>
      <c r="C49" s="37">
        <f t="shared" si="22"/>
        <v>0</v>
      </c>
      <c r="D49" s="37">
        <f t="shared" si="22"/>
        <v>0</v>
      </c>
      <c r="E49" s="37">
        <f t="shared" si="22"/>
        <v>0</v>
      </c>
      <c r="F49" s="37">
        <f t="shared" si="22"/>
        <v>0</v>
      </c>
      <c r="G49" s="37">
        <f t="shared" si="22"/>
        <v>0</v>
      </c>
      <c r="H49" s="37">
        <f t="shared" si="22"/>
        <v>80968.27178038313</v>
      </c>
      <c r="I49" s="37">
        <f t="shared" si="22"/>
        <v>0</v>
      </c>
      <c r="J49" s="37">
        <f t="shared" si="22"/>
        <v>155823.03254890576</v>
      </c>
      <c r="K49" s="37">
        <f t="shared" si="22"/>
        <v>0</v>
      </c>
      <c r="L49" s="37">
        <f t="shared" si="22"/>
        <v>53777.60318892123</v>
      </c>
      <c r="M49" s="12"/>
    </row>
    <row r="50" s="3" customFormat="1" ht="9.75">
      <c r="M50" s="12"/>
    </row>
    <row r="51" spans="1:2" s="3" customFormat="1" ht="9.75">
      <c r="A51" s="3" t="s">
        <v>64</v>
      </c>
      <c r="B51" s="50">
        <f>SUM(B14:L14)/SUM(B5:L5)</f>
        <v>0.03553129066627074</v>
      </c>
    </row>
    <row r="52" s="3" customFormat="1" ht="9.75"/>
    <row r="53" spans="1:2" s="3" customFormat="1" ht="9.75">
      <c r="A53" s="3" t="s">
        <v>81</v>
      </c>
      <c r="B53" s="51">
        <f>SUM(B49:L49)</f>
        <v>290484.704827616</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M53"/>
  <sheetViews>
    <sheetView zoomScalePageLayoutView="0" workbookViewId="0" topLeftCell="A1">
      <pane xSplit="1" ySplit="1" topLeftCell="B29" activePane="bottomRight" state="frozen"/>
      <selection pane="topLeft" activeCell="A1" sqref="A1"/>
      <selection pane="topRight" activeCell="B1" sqref="B1"/>
      <selection pane="bottomLeft" activeCell="A3" sqref="A3"/>
      <selection pane="bottomRight" activeCell="A28" sqref="A28"/>
    </sheetView>
  </sheetViews>
  <sheetFormatPr defaultColWidth="9.140625" defaultRowHeight="12.75"/>
  <cols>
    <col min="1" max="1" width="40.28125" style="3" bestFit="1" customWidth="1"/>
    <col min="2" max="2" width="10.7109375" style="3" bestFit="1" customWidth="1"/>
    <col min="3" max="4" width="6.8515625" style="3" bestFit="1" customWidth="1"/>
    <col min="5" max="8" width="6.28125" style="3" bestFit="1" customWidth="1"/>
    <col min="9" max="12" width="9.8515625" style="3" bestFit="1" customWidth="1"/>
    <col min="13" max="13" width="9.28125" style="3" bestFit="1" customWidth="1"/>
    <col min="14" max="16384" width="9.140625" style="3" customWidth="1"/>
  </cols>
  <sheetData>
    <row r="1" spans="1:13" ht="9.75">
      <c r="A1" s="2" t="s">
        <v>13</v>
      </c>
      <c r="B1" s="4" t="s">
        <v>58</v>
      </c>
      <c r="C1" s="5" t="s">
        <v>50</v>
      </c>
      <c r="D1" s="5" t="s">
        <v>51</v>
      </c>
      <c r="E1" s="5" t="s">
        <v>52</v>
      </c>
      <c r="F1" s="6" t="s">
        <v>17</v>
      </c>
      <c r="G1" s="6" t="s">
        <v>18</v>
      </c>
      <c r="H1" s="6" t="s">
        <v>19</v>
      </c>
      <c r="I1" s="7" t="s">
        <v>20</v>
      </c>
      <c r="J1" s="7" t="s">
        <v>21</v>
      </c>
      <c r="K1" s="7" t="s">
        <v>22</v>
      </c>
      <c r="L1" s="7" t="s">
        <v>23</v>
      </c>
      <c r="M1" s="8" t="s">
        <v>59</v>
      </c>
    </row>
    <row r="2" spans="1:13" ht="9.75">
      <c r="A2" s="9" t="s">
        <v>57</v>
      </c>
      <c r="B2" s="10">
        <f>'ISP Models'!$B$7</f>
        <v>5</v>
      </c>
      <c r="C2" s="11">
        <f>'ISP Models'!$C$7</f>
        <v>50000</v>
      </c>
      <c r="D2" s="11">
        <f>'ISP Models'!$D$7</f>
        <v>10000</v>
      </c>
      <c r="E2" s="11">
        <f>'ISP Models'!$E$7</f>
        <v>2500</v>
      </c>
      <c r="F2" s="11">
        <f>'ISP Models'!$F$7</f>
        <v>1000</v>
      </c>
      <c r="G2" s="11">
        <f>'ISP Models'!$G$7</f>
        <v>500</v>
      </c>
      <c r="H2" s="11">
        <f>'ISP Models'!$H$7</f>
        <v>250</v>
      </c>
      <c r="I2" s="11">
        <f>'ISP Models'!$I$7</f>
        <v>100</v>
      </c>
      <c r="J2" s="11">
        <f>'ISP Models'!$J$7</f>
        <v>20</v>
      </c>
      <c r="K2" s="11">
        <f>'ISP Models'!$K$7</f>
        <v>5</v>
      </c>
      <c r="L2" s="11">
        <f>'ISP Models'!$L$7</f>
        <v>2</v>
      </c>
      <c r="M2" s="12"/>
    </row>
    <row r="3" spans="1:13" ht="9.75">
      <c r="A3" s="9"/>
      <c r="B3" s="10"/>
      <c r="M3" s="12"/>
    </row>
    <row r="4" spans="1:13" ht="9.75">
      <c r="A4" s="9" t="s">
        <v>55</v>
      </c>
      <c r="B4" s="13">
        <v>1</v>
      </c>
      <c r="C4" s="14">
        <v>0</v>
      </c>
      <c r="D4" s="14">
        <v>0</v>
      </c>
      <c r="E4" s="14">
        <v>0</v>
      </c>
      <c r="F4" s="14">
        <v>0</v>
      </c>
      <c r="G4" s="14">
        <v>0</v>
      </c>
      <c r="H4" s="14">
        <v>0</v>
      </c>
      <c r="I4" s="14">
        <v>3</v>
      </c>
      <c r="J4" s="14">
        <v>5</v>
      </c>
      <c r="K4" s="14">
        <v>6</v>
      </c>
      <c r="L4" s="14">
        <v>10</v>
      </c>
      <c r="M4" s="12"/>
    </row>
    <row r="5" spans="1:13" ht="9.75">
      <c r="A5" s="9" t="s">
        <v>76</v>
      </c>
      <c r="B5" s="15">
        <f>B4*B2*'ISP Models'!B$13</f>
        <v>1.5</v>
      </c>
      <c r="C5" s="16">
        <f>C4*C2*'ISP Models'!C$13</f>
        <v>0</v>
      </c>
      <c r="D5" s="16">
        <f>D4*D2*'ISP Models'!D$13</f>
        <v>0</v>
      </c>
      <c r="E5" s="16">
        <f>E4*E2*'ISP Models'!E$13</f>
        <v>0</v>
      </c>
      <c r="F5" s="16">
        <f>F4*F2*'ISP Models'!F$13</f>
        <v>0</v>
      </c>
      <c r="G5" s="16">
        <f>G4*G2*'ISP Models'!G$13</f>
        <v>0</v>
      </c>
      <c r="H5" s="16">
        <f>H4*H2*'ISP Models'!H$13</f>
        <v>0</v>
      </c>
      <c r="I5" s="16">
        <f>I4*I2*'ISP Models'!I$13</f>
        <v>90</v>
      </c>
      <c r="J5" s="16">
        <f>J4*J2*'ISP Models'!J$13</f>
        <v>30</v>
      </c>
      <c r="K5" s="16">
        <f>K4*K2*'ISP Models'!K$13</f>
        <v>9</v>
      </c>
      <c r="L5" s="16">
        <f>L4*L2*'ISP Models'!L$13</f>
        <v>6</v>
      </c>
      <c r="M5" s="17">
        <f>SUM(B5:L5)</f>
        <v>136.5</v>
      </c>
    </row>
    <row r="6" spans="1:13" ht="9.75">
      <c r="A6" s="9"/>
      <c r="B6" s="15"/>
      <c r="C6" s="16"/>
      <c r="D6" s="16"/>
      <c r="E6" s="16"/>
      <c r="F6" s="16"/>
      <c r="G6" s="16"/>
      <c r="H6" s="16"/>
      <c r="I6" s="16"/>
      <c r="J6" s="16"/>
      <c r="K6" s="16"/>
      <c r="L6" s="16"/>
      <c r="M6" s="17"/>
    </row>
    <row r="7" spans="1:13" ht="9.75">
      <c r="A7" s="71" t="s">
        <v>65</v>
      </c>
      <c r="B7" s="15"/>
      <c r="C7" s="16"/>
      <c r="D7" s="16"/>
      <c r="E7" s="16"/>
      <c r="F7" s="16"/>
      <c r="G7" s="16"/>
      <c r="H7" s="16"/>
      <c r="I7" s="16"/>
      <c r="J7" s="16"/>
      <c r="K7" s="16"/>
      <c r="L7" s="16"/>
      <c r="M7" s="17"/>
    </row>
    <row r="8" spans="1:13" ht="9.75">
      <c r="A8" s="18" t="s">
        <v>66</v>
      </c>
      <c r="B8" s="19">
        <f aca="true" t="shared" si="0" ref="B8:L8">IF(B4&gt;0,B5/SUM($B$5:$L$5)/B4,0)</f>
        <v>0.01098901098901099</v>
      </c>
      <c r="C8" s="20">
        <f t="shared" si="0"/>
        <v>0</v>
      </c>
      <c r="D8" s="20">
        <f t="shared" si="0"/>
        <v>0</v>
      </c>
      <c r="E8" s="20">
        <f t="shared" si="0"/>
        <v>0</v>
      </c>
      <c r="F8" s="20">
        <f t="shared" si="0"/>
        <v>0</v>
      </c>
      <c r="G8" s="20">
        <f t="shared" si="0"/>
        <v>0</v>
      </c>
      <c r="H8" s="20">
        <f t="shared" si="0"/>
        <v>0</v>
      </c>
      <c r="I8" s="20">
        <f t="shared" si="0"/>
        <v>0.21978021978021978</v>
      </c>
      <c r="J8" s="20">
        <f t="shared" si="0"/>
        <v>0.04395604395604395</v>
      </c>
      <c r="K8" s="20">
        <f t="shared" si="0"/>
        <v>0.01098901098901099</v>
      </c>
      <c r="L8" s="20">
        <f t="shared" si="0"/>
        <v>0.004395604395604396</v>
      </c>
      <c r="M8" s="12"/>
    </row>
    <row r="9" spans="1:13" ht="9.75">
      <c r="A9" s="18" t="s">
        <v>68</v>
      </c>
      <c r="B9" s="19">
        <f aca="true" t="shared" si="1" ref="B9:L9">B8</f>
        <v>0.01098901098901099</v>
      </c>
      <c r="C9" s="20">
        <f t="shared" si="1"/>
        <v>0</v>
      </c>
      <c r="D9" s="20">
        <f t="shared" si="1"/>
        <v>0</v>
      </c>
      <c r="E9" s="20">
        <f t="shared" si="1"/>
        <v>0</v>
      </c>
      <c r="F9" s="20">
        <f t="shared" si="1"/>
        <v>0</v>
      </c>
      <c r="G9" s="20">
        <f t="shared" si="1"/>
        <v>0</v>
      </c>
      <c r="H9" s="20">
        <f t="shared" si="1"/>
        <v>0</v>
      </c>
      <c r="I9" s="20">
        <f t="shared" si="1"/>
        <v>0.21978021978021978</v>
      </c>
      <c r="J9" s="20">
        <f t="shared" si="1"/>
        <v>0.04395604395604395</v>
      </c>
      <c r="K9" s="20">
        <f t="shared" si="1"/>
        <v>0.01098901098901099</v>
      </c>
      <c r="L9" s="20">
        <f t="shared" si="1"/>
        <v>0.004395604395604396</v>
      </c>
      <c r="M9" s="12"/>
    </row>
    <row r="10" spans="1:13" ht="9.75">
      <c r="A10" s="18" t="s">
        <v>67</v>
      </c>
      <c r="B10" s="19">
        <f aca="true" t="shared" si="2" ref="B10:L10">IF(B4&gt;0,100%-B8,0)</f>
        <v>0.989010989010989</v>
      </c>
      <c r="C10" s="20">
        <f t="shared" si="2"/>
        <v>0</v>
      </c>
      <c r="D10" s="20">
        <f t="shared" si="2"/>
        <v>0</v>
      </c>
      <c r="E10" s="20">
        <f t="shared" si="2"/>
        <v>0</v>
      </c>
      <c r="F10" s="20">
        <f t="shared" si="2"/>
        <v>0</v>
      </c>
      <c r="G10" s="20">
        <f t="shared" si="2"/>
        <v>0</v>
      </c>
      <c r="H10" s="20">
        <f t="shared" si="2"/>
        <v>0</v>
      </c>
      <c r="I10" s="20">
        <f t="shared" si="2"/>
        <v>0.7802197802197802</v>
      </c>
      <c r="J10" s="20">
        <f t="shared" si="2"/>
        <v>0.9560439560439561</v>
      </c>
      <c r="K10" s="20">
        <f t="shared" si="2"/>
        <v>0.989010989010989</v>
      </c>
      <c r="L10" s="20">
        <f t="shared" si="2"/>
        <v>0.9956043956043956</v>
      </c>
      <c r="M10" s="12"/>
    </row>
    <row r="11" spans="1:13" ht="9.75">
      <c r="A11" s="18"/>
      <c r="B11" s="19"/>
      <c r="C11" s="20"/>
      <c r="D11" s="20"/>
      <c r="E11" s="20"/>
      <c r="F11" s="20"/>
      <c r="G11" s="20"/>
      <c r="H11" s="20"/>
      <c r="I11" s="20"/>
      <c r="J11" s="20"/>
      <c r="K11" s="20"/>
      <c r="L11" s="20"/>
      <c r="M11" s="12"/>
    </row>
    <row r="12" spans="1:13" ht="9.75">
      <c r="A12" s="3" t="s">
        <v>61</v>
      </c>
      <c r="B12" s="13">
        <v>1</v>
      </c>
      <c r="C12" s="14">
        <v>0</v>
      </c>
      <c r="D12" s="14">
        <v>0</v>
      </c>
      <c r="E12" s="14">
        <v>0</v>
      </c>
      <c r="F12" s="14">
        <v>0</v>
      </c>
      <c r="G12" s="14">
        <v>0</v>
      </c>
      <c r="H12" s="14">
        <v>0</v>
      </c>
      <c r="I12" s="14">
        <v>3</v>
      </c>
      <c r="J12" s="14">
        <v>5</v>
      </c>
      <c r="K12" s="14">
        <v>6</v>
      </c>
      <c r="L12" s="14">
        <v>10</v>
      </c>
      <c r="M12" s="12"/>
    </row>
    <row r="13" spans="1:13" ht="9.75">
      <c r="A13" s="9" t="s">
        <v>62</v>
      </c>
      <c r="B13" s="23">
        <f aca="true" t="shared" si="3" ref="B13:L13">IF(ISERR(B12/B4),0,B12/B4)</f>
        <v>1</v>
      </c>
      <c r="C13" s="24">
        <f t="shared" si="3"/>
        <v>0</v>
      </c>
      <c r="D13" s="24">
        <f t="shared" si="3"/>
        <v>0</v>
      </c>
      <c r="E13" s="24">
        <f t="shared" si="3"/>
        <v>0</v>
      </c>
      <c r="F13" s="24">
        <f t="shared" si="3"/>
        <v>0</v>
      </c>
      <c r="G13" s="24">
        <f t="shared" si="3"/>
        <v>0</v>
      </c>
      <c r="H13" s="24">
        <f t="shared" si="3"/>
        <v>0</v>
      </c>
      <c r="I13" s="24">
        <f t="shared" si="3"/>
        <v>1</v>
      </c>
      <c r="J13" s="24">
        <f t="shared" si="3"/>
        <v>1</v>
      </c>
      <c r="K13" s="24">
        <f t="shared" si="3"/>
        <v>1</v>
      </c>
      <c r="L13" s="24">
        <f t="shared" si="3"/>
        <v>1</v>
      </c>
      <c r="M13" s="12"/>
    </row>
    <row r="14" spans="1:13" ht="9.75">
      <c r="A14" s="9" t="s">
        <v>78</v>
      </c>
      <c r="B14" s="25">
        <f aca="true" t="shared" si="4" ref="B14:L14">B13*B5*B10</f>
        <v>1.4835164835164836</v>
      </c>
      <c r="C14" s="26">
        <f t="shared" si="4"/>
        <v>0</v>
      </c>
      <c r="D14" s="26">
        <f t="shared" si="4"/>
        <v>0</v>
      </c>
      <c r="E14" s="26">
        <f t="shared" si="4"/>
        <v>0</v>
      </c>
      <c r="F14" s="26">
        <f t="shared" si="4"/>
        <v>0</v>
      </c>
      <c r="G14" s="26">
        <f t="shared" si="4"/>
        <v>0</v>
      </c>
      <c r="H14" s="26">
        <f t="shared" si="4"/>
        <v>0</v>
      </c>
      <c r="I14" s="26">
        <f t="shared" si="4"/>
        <v>70.21978021978022</v>
      </c>
      <c r="J14" s="26">
        <f t="shared" si="4"/>
        <v>28.681318681318682</v>
      </c>
      <c r="K14" s="26">
        <f t="shared" si="4"/>
        <v>8.901098901098901</v>
      </c>
      <c r="L14" s="26">
        <f t="shared" si="4"/>
        <v>5.973626373626374</v>
      </c>
      <c r="M14" s="17">
        <f>SUM(B14:L14)</f>
        <v>115.25934065934067</v>
      </c>
    </row>
    <row r="15" spans="1:13" ht="9.75">
      <c r="A15" s="9"/>
      <c r="B15" s="27"/>
      <c r="C15" s="28"/>
      <c r="D15" s="28"/>
      <c r="E15" s="28"/>
      <c r="F15" s="28"/>
      <c r="G15" s="28"/>
      <c r="H15" s="28"/>
      <c r="I15" s="28"/>
      <c r="J15" s="28"/>
      <c r="K15" s="28"/>
      <c r="L15" s="28"/>
      <c r="M15" s="12"/>
    </row>
    <row r="16" spans="1:13" ht="9.75">
      <c r="A16" s="71" t="s">
        <v>69</v>
      </c>
      <c r="B16" s="27"/>
      <c r="C16" s="28"/>
      <c r="D16" s="29"/>
      <c r="E16" s="29"/>
      <c r="F16" s="29"/>
      <c r="G16" s="29"/>
      <c r="H16" s="29"/>
      <c r="I16" s="29"/>
      <c r="J16" s="29"/>
      <c r="K16" s="29"/>
      <c r="L16" s="29"/>
      <c r="M16" s="12"/>
    </row>
    <row r="17" spans="1:13" ht="9.75">
      <c r="A17" s="18" t="s">
        <v>63</v>
      </c>
      <c r="B17" s="27">
        <f aca="true" t="shared" si="5" ref="B17:L17">IF(B12&gt;0,B10*$B$51,0)</f>
        <v>0.8351117545659268</v>
      </c>
      <c r="C17" s="29">
        <f t="shared" si="5"/>
        <v>0</v>
      </c>
      <c r="D17" s="29">
        <f t="shared" si="5"/>
        <v>0</v>
      </c>
      <c r="E17" s="29">
        <f t="shared" si="5"/>
        <v>0</v>
      </c>
      <c r="F17" s="29">
        <f t="shared" si="5"/>
        <v>0</v>
      </c>
      <c r="G17" s="29">
        <f t="shared" si="5"/>
        <v>0</v>
      </c>
      <c r="H17" s="29">
        <f t="shared" si="5"/>
        <v>0</v>
      </c>
      <c r="I17" s="29">
        <f t="shared" si="5"/>
        <v>0.6588103841575644</v>
      </c>
      <c r="J17" s="29">
        <f t="shared" si="5"/>
        <v>0.8072746960803959</v>
      </c>
      <c r="K17" s="29">
        <f t="shared" si="5"/>
        <v>0.8351117545659268</v>
      </c>
      <c r="L17" s="29">
        <f t="shared" si="5"/>
        <v>0.840679166263033</v>
      </c>
      <c r="M17" s="12"/>
    </row>
    <row r="18" spans="1:13" ht="9.75">
      <c r="A18" s="18" t="s">
        <v>1</v>
      </c>
      <c r="B18" s="30">
        <f aca="true" t="shared" si="6" ref="B18:L18">B17*B14</f>
        <v>1.2389020534769244</v>
      </c>
      <c r="C18" s="31">
        <f t="shared" si="6"/>
        <v>0</v>
      </c>
      <c r="D18" s="31">
        <f t="shared" si="6"/>
        <v>0</v>
      </c>
      <c r="E18" s="31">
        <f t="shared" si="6"/>
        <v>0</v>
      </c>
      <c r="F18" s="31">
        <f t="shared" si="6"/>
        <v>0</v>
      </c>
      <c r="G18" s="31">
        <f t="shared" si="6"/>
        <v>0</v>
      </c>
      <c r="H18" s="31">
        <f t="shared" si="6"/>
        <v>0</v>
      </c>
      <c r="I18" s="31">
        <f t="shared" si="6"/>
        <v>46.26152038205315</v>
      </c>
      <c r="J18" s="31">
        <f t="shared" si="6"/>
        <v>23.153702821646522</v>
      </c>
      <c r="K18" s="31">
        <f t="shared" si="6"/>
        <v>7.433412320861547</v>
      </c>
      <c r="L18" s="31">
        <f t="shared" si="6"/>
        <v>5.021903239347085</v>
      </c>
      <c r="M18" s="12"/>
    </row>
    <row r="19" spans="1:13" ht="9.75">
      <c r="A19" s="18" t="s">
        <v>71</v>
      </c>
      <c r="B19" s="27">
        <f>B9</f>
        <v>0.01098901098901099</v>
      </c>
      <c r="C19" s="29">
        <f aca="true" t="shared" si="7" ref="C19:L19">C9</f>
        <v>0</v>
      </c>
      <c r="D19" s="29">
        <f t="shared" si="7"/>
        <v>0</v>
      </c>
      <c r="E19" s="29">
        <f t="shared" si="7"/>
        <v>0</v>
      </c>
      <c r="F19" s="29">
        <f t="shared" si="7"/>
        <v>0</v>
      </c>
      <c r="G19" s="29">
        <f t="shared" si="7"/>
        <v>0</v>
      </c>
      <c r="H19" s="29">
        <f t="shared" si="7"/>
        <v>0</v>
      </c>
      <c r="I19" s="29">
        <f t="shared" si="7"/>
        <v>0.21978021978021978</v>
      </c>
      <c r="J19" s="29">
        <f t="shared" si="7"/>
        <v>0.04395604395604395</v>
      </c>
      <c r="K19" s="29">
        <f t="shared" si="7"/>
        <v>0.01098901098901099</v>
      </c>
      <c r="L19" s="29">
        <f t="shared" si="7"/>
        <v>0.004395604395604396</v>
      </c>
      <c r="M19" s="12"/>
    </row>
    <row r="20" spans="1:13" ht="9.75">
      <c r="A20" s="18" t="s">
        <v>2</v>
      </c>
      <c r="B20" s="30">
        <f aca="true" t="shared" si="8" ref="B20:L20">B19*B14</f>
        <v>0.01630237893974158</v>
      </c>
      <c r="C20" s="31">
        <f t="shared" si="8"/>
        <v>0</v>
      </c>
      <c r="D20" s="31">
        <f t="shared" si="8"/>
        <v>0</v>
      </c>
      <c r="E20" s="31">
        <f t="shared" si="8"/>
        <v>0</v>
      </c>
      <c r="F20" s="31">
        <f t="shared" si="8"/>
        <v>0</v>
      </c>
      <c r="G20" s="31">
        <f t="shared" si="8"/>
        <v>0</v>
      </c>
      <c r="H20" s="31">
        <f t="shared" si="8"/>
        <v>0</v>
      </c>
      <c r="I20" s="31">
        <f t="shared" si="8"/>
        <v>15.432918729622026</v>
      </c>
      <c r="J20" s="31">
        <f t="shared" si="8"/>
        <v>1.2607173046733486</v>
      </c>
      <c r="K20" s="31">
        <f t="shared" si="8"/>
        <v>0.09781427363844948</v>
      </c>
      <c r="L20" s="31">
        <f t="shared" si="8"/>
        <v>0.026257698345610436</v>
      </c>
      <c r="M20" s="12"/>
    </row>
    <row r="21" spans="1:13" ht="9.75">
      <c r="A21" s="18" t="s">
        <v>72</v>
      </c>
      <c r="B21" s="27">
        <f>B17+B19</f>
        <v>0.8461007655549377</v>
      </c>
      <c r="C21" s="29">
        <f aca="true" t="shared" si="9" ref="C21:L21">C17+C19</f>
        <v>0</v>
      </c>
      <c r="D21" s="29">
        <f t="shared" si="9"/>
        <v>0</v>
      </c>
      <c r="E21" s="29">
        <f t="shared" si="9"/>
        <v>0</v>
      </c>
      <c r="F21" s="29">
        <f t="shared" si="9"/>
        <v>0</v>
      </c>
      <c r="G21" s="29">
        <f t="shared" si="9"/>
        <v>0</v>
      </c>
      <c r="H21" s="29">
        <f t="shared" si="9"/>
        <v>0</v>
      </c>
      <c r="I21" s="29">
        <f t="shared" si="9"/>
        <v>0.8785906039377842</v>
      </c>
      <c r="J21" s="29">
        <f t="shared" si="9"/>
        <v>0.8512307400364398</v>
      </c>
      <c r="K21" s="29">
        <f t="shared" si="9"/>
        <v>0.8461007655549377</v>
      </c>
      <c r="L21" s="29">
        <f t="shared" si="9"/>
        <v>0.8450747706586373</v>
      </c>
      <c r="M21" s="12"/>
    </row>
    <row r="22" spans="1:13" ht="9.75">
      <c r="A22" s="18" t="s">
        <v>3</v>
      </c>
      <c r="B22" s="30">
        <f>B18+B20</f>
        <v>1.255204432416666</v>
      </c>
      <c r="C22" s="31">
        <f aca="true" t="shared" si="10" ref="C22:L22">C18+C20</f>
        <v>0</v>
      </c>
      <c r="D22" s="31">
        <f t="shared" si="10"/>
        <v>0</v>
      </c>
      <c r="E22" s="31">
        <f t="shared" si="10"/>
        <v>0</v>
      </c>
      <c r="F22" s="31">
        <f t="shared" si="10"/>
        <v>0</v>
      </c>
      <c r="G22" s="31">
        <f t="shared" si="10"/>
        <v>0</v>
      </c>
      <c r="H22" s="31">
        <f t="shared" si="10"/>
        <v>0</v>
      </c>
      <c r="I22" s="31">
        <f t="shared" si="10"/>
        <v>61.69443911167517</v>
      </c>
      <c r="J22" s="31">
        <f t="shared" si="10"/>
        <v>24.41442012631987</v>
      </c>
      <c r="K22" s="31">
        <f t="shared" si="10"/>
        <v>7.531226594499996</v>
      </c>
      <c r="L22" s="31">
        <f t="shared" si="10"/>
        <v>5.048160937692696</v>
      </c>
      <c r="M22" s="12"/>
    </row>
    <row r="23" spans="1:13" ht="9.75">
      <c r="A23" s="18" t="s">
        <v>77</v>
      </c>
      <c r="B23" s="27">
        <f aca="true" t="shared" si="11" ref="B23:L23">IF(B4&gt;0,100%-B21,B10)</f>
        <v>0.15389923444506226</v>
      </c>
      <c r="C23" s="29">
        <f t="shared" si="11"/>
        <v>0</v>
      </c>
      <c r="D23" s="29">
        <f t="shared" si="11"/>
        <v>0</v>
      </c>
      <c r="E23" s="29">
        <f t="shared" si="11"/>
        <v>0</v>
      </c>
      <c r="F23" s="29">
        <f t="shared" si="11"/>
        <v>0</v>
      </c>
      <c r="G23" s="29">
        <f t="shared" si="11"/>
        <v>0</v>
      </c>
      <c r="H23" s="29">
        <f t="shared" si="11"/>
        <v>0</v>
      </c>
      <c r="I23" s="29">
        <f t="shared" si="11"/>
        <v>0.12140939606221579</v>
      </c>
      <c r="J23" s="29">
        <f t="shared" si="11"/>
        <v>0.14876925996356016</v>
      </c>
      <c r="K23" s="29">
        <f t="shared" si="11"/>
        <v>0.15389923444506226</v>
      </c>
      <c r="L23" s="29">
        <f t="shared" si="11"/>
        <v>0.15492522934136266</v>
      </c>
      <c r="M23" s="12"/>
    </row>
    <row r="24" spans="1:13" ht="9.75">
      <c r="A24" s="18" t="s">
        <v>4</v>
      </c>
      <c r="B24" s="30">
        <f aca="true" t="shared" si="12" ref="B24:L24">B23*B14</f>
        <v>0.22831205109981764</v>
      </c>
      <c r="C24" s="31">
        <f t="shared" si="12"/>
        <v>0</v>
      </c>
      <c r="D24" s="31">
        <f t="shared" si="12"/>
        <v>0</v>
      </c>
      <c r="E24" s="31">
        <f t="shared" si="12"/>
        <v>0</v>
      </c>
      <c r="F24" s="31">
        <f t="shared" si="12"/>
        <v>0</v>
      </c>
      <c r="G24" s="31">
        <f t="shared" si="12"/>
        <v>0</v>
      </c>
      <c r="H24" s="31">
        <f t="shared" si="12"/>
        <v>0</v>
      </c>
      <c r="I24" s="31">
        <f t="shared" si="12"/>
        <v>8.525341108105042</v>
      </c>
      <c r="J24" s="31">
        <f t="shared" si="12"/>
        <v>4.266898554998813</v>
      </c>
      <c r="K24" s="31">
        <f t="shared" si="12"/>
        <v>1.3698723065989058</v>
      </c>
      <c r="L24" s="31">
        <f t="shared" si="12"/>
        <v>0.9254654359336785</v>
      </c>
      <c r="M24" s="12"/>
    </row>
    <row r="25" spans="1:13" ht="9.75">
      <c r="A25" s="18"/>
      <c r="B25" s="27"/>
      <c r="C25" s="28"/>
      <c r="D25" s="29"/>
      <c r="E25" s="29"/>
      <c r="F25" s="29"/>
      <c r="G25" s="29"/>
      <c r="H25" s="29"/>
      <c r="I25" s="29"/>
      <c r="J25" s="29"/>
      <c r="K25" s="29"/>
      <c r="L25" s="29"/>
      <c r="M25" s="12"/>
    </row>
    <row r="26" spans="1:13" ht="9.75">
      <c r="A26" s="71" t="s">
        <v>73</v>
      </c>
      <c r="B26" s="27"/>
      <c r="C26" s="28"/>
      <c r="D26" s="29"/>
      <c r="E26" s="29"/>
      <c r="F26" s="29"/>
      <c r="G26" s="29"/>
      <c r="H26" s="29"/>
      <c r="I26" s="29"/>
      <c r="J26" s="29"/>
      <c r="K26" s="29"/>
      <c r="L26" s="29"/>
      <c r="M26" s="12"/>
    </row>
    <row r="27" spans="1:13" ht="9.75">
      <c r="A27" s="18" t="s">
        <v>70</v>
      </c>
      <c r="B27" s="27">
        <f aca="true" t="shared" si="13" ref="B27:L27">B17*B8</f>
        <v>0.009177052247977218</v>
      </c>
      <c r="C27" s="28">
        <f t="shared" si="13"/>
        <v>0</v>
      </c>
      <c r="D27" s="28">
        <f t="shared" si="13"/>
        <v>0</v>
      </c>
      <c r="E27" s="28">
        <f t="shared" si="13"/>
        <v>0</v>
      </c>
      <c r="F27" s="28">
        <f t="shared" si="13"/>
        <v>0</v>
      </c>
      <c r="G27" s="28">
        <f t="shared" si="13"/>
        <v>0</v>
      </c>
      <c r="H27" s="28">
        <f t="shared" si="13"/>
        <v>0</v>
      </c>
      <c r="I27" s="28">
        <f t="shared" si="13"/>
        <v>0.14479349102364053</v>
      </c>
      <c r="J27" s="28">
        <f t="shared" si="13"/>
        <v>0.03548460202551191</v>
      </c>
      <c r="K27" s="28">
        <f t="shared" si="13"/>
        <v>0.009177052247977218</v>
      </c>
      <c r="L27" s="28">
        <f t="shared" si="13"/>
        <v>0.0036952930385188263</v>
      </c>
      <c r="M27" s="12"/>
    </row>
    <row r="28" spans="1:13" ht="9.75">
      <c r="A28" s="18"/>
      <c r="B28" s="27"/>
      <c r="C28" s="28"/>
      <c r="D28" s="28"/>
      <c r="E28" s="28"/>
      <c r="F28" s="28"/>
      <c r="G28" s="28"/>
      <c r="H28" s="28"/>
      <c r="I28" s="28"/>
      <c r="J28" s="28"/>
      <c r="K28" s="28"/>
      <c r="L28" s="28"/>
      <c r="M28" s="12"/>
    </row>
    <row r="29" spans="1:13" ht="9.75">
      <c r="A29" s="18" t="s">
        <v>75</v>
      </c>
      <c r="B29" s="30">
        <f>IF(B4*B12&gt;0,'ISP Models'!B$14*B10,0)</f>
        <v>1.4835164835164836</v>
      </c>
      <c r="C29" s="31">
        <f>IF(C4*C12&gt;0,'ISP Models'!C$14*C10,0)</f>
        <v>0</v>
      </c>
      <c r="D29" s="31">
        <f>IF(D4*D12&gt;0,'ISP Models'!D$14*D10,0)</f>
        <v>0</v>
      </c>
      <c r="E29" s="31">
        <f>IF(E4*E12&gt;0,'ISP Models'!E$14*E10,0)</f>
        <v>0</v>
      </c>
      <c r="F29" s="31">
        <f>IF(F4*F12&gt;0,'ISP Models'!F$14*F10,0)</f>
        <v>0</v>
      </c>
      <c r="G29" s="31">
        <f>IF(G4*G12&gt;0,'ISP Models'!G$14*G10,0)</f>
        <v>0</v>
      </c>
      <c r="H29" s="31">
        <f>IF(H4*H12&gt;0,'ISP Models'!H$14*H10,0)</f>
        <v>0</v>
      </c>
      <c r="I29" s="31">
        <f>IF(I4*I12&gt;0,'ISP Models'!I$14*I10,0)</f>
        <v>23.406593406593405</v>
      </c>
      <c r="J29" s="31">
        <f>IF(J4*J12&gt;0,'ISP Models'!J$14*J10,0)</f>
        <v>5.736263736263736</v>
      </c>
      <c r="K29" s="31">
        <f>IF(K4*K12&gt;0,'ISP Models'!K$14*K10,0)</f>
        <v>1.4835164835164836</v>
      </c>
      <c r="L29" s="31">
        <f>IF(L4*L12&gt;0,'ISP Models'!L$14*L10,0)</f>
        <v>0.5973626373626374</v>
      </c>
      <c r="M29" s="12"/>
    </row>
    <row r="30" spans="1:13" ht="9.75">
      <c r="A30" s="18" t="s">
        <v>74</v>
      </c>
      <c r="B30" s="30">
        <f aca="true" t="shared" si="14" ref="B30:L30">B29-B22</f>
        <v>0.22831205109981756</v>
      </c>
      <c r="C30" s="31">
        <f t="shared" si="14"/>
        <v>0</v>
      </c>
      <c r="D30" s="31">
        <f t="shared" si="14"/>
        <v>0</v>
      </c>
      <c r="E30" s="31">
        <f t="shared" si="14"/>
        <v>0</v>
      </c>
      <c r="F30" s="31">
        <f t="shared" si="14"/>
        <v>0</v>
      </c>
      <c r="G30" s="31">
        <f t="shared" si="14"/>
        <v>0</v>
      </c>
      <c r="H30" s="31">
        <f t="shared" si="14"/>
        <v>0</v>
      </c>
      <c r="I30" s="31">
        <f t="shared" si="14"/>
        <v>-38.287845705081764</v>
      </c>
      <c r="J30" s="31">
        <f t="shared" si="14"/>
        <v>-18.678156390056134</v>
      </c>
      <c r="K30" s="31">
        <f t="shared" si="14"/>
        <v>-6.0477101109835125</v>
      </c>
      <c r="L30" s="31">
        <f t="shared" si="14"/>
        <v>-4.450798300330058</v>
      </c>
      <c r="M30" s="12"/>
    </row>
    <row r="31" spans="1:13" ht="10.5" thickBot="1">
      <c r="A31" s="18"/>
      <c r="B31" s="32"/>
      <c r="C31" s="33"/>
      <c r="D31" s="33"/>
      <c r="E31" s="33"/>
      <c r="F31" s="33"/>
      <c r="G31" s="33"/>
      <c r="H31" s="33"/>
      <c r="I31" s="33"/>
      <c r="J31" s="33"/>
      <c r="K31" s="33"/>
      <c r="L31" s="33"/>
      <c r="M31" s="12"/>
    </row>
    <row r="32" spans="1:13" ht="10.5" thickTop="1">
      <c r="A32" s="18" t="s">
        <v>7</v>
      </c>
      <c r="B32" s="25">
        <f aca="true" t="shared" si="15" ref="B32:L32">B29-B30</f>
        <v>1.255204432416666</v>
      </c>
      <c r="C32" s="26">
        <f t="shared" si="15"/>
        <v>0</v>
      </c>
      <c r="D32" s="26">
        <f t="shared" si="15"/>
        <v>0</v>
      </c>
      <c r="E32" s="26">
        <f t="shared" si="15"/>
        <v>0</v>
      </c>
      <c r="F32" s="26">
        <f t="shared" si="15"/>
        <v>0</v>
      </c>
      <c r="G32" s="26">
        <f t="shared" si="15"/>
        <v>0</v>
      </c>
      <c r="H32" s="26">
        <f t="shared" si="15"/>
        <v>0</v>
      </c>
      <c r="I32" s="26">
        <f t="shared" si="15"/>
        <v>61.694439111675166</v>
      </c>
      <c r="J32" s="26">
        <f t="shared" si="15"/>
        <v>24.41442012631987</v>
      </c>
      <c r="K32" s="26">
        <f t="shared" si="15"/>
        <v>7.531226594499996</v>
      </c>
      <c r="L32" s="26">
        <f t="shared" si="15"/>
        <v>5.048160937692696</v>
      </c>
      <c r="M32" s="12"/>
    </row>
    <row r="33" spans="1:13" ht="9.75">
      <c r="A33" s="18" t="s">
        <v>79</v>
      </c>
      <c r="B33" s="34">
        <f aca="true" t="shared" si="16" ref="B33:L33">B32/B2</f>
        <v>0.2510408864833332</v>
      </c>
      <c r="C33" s="35">
        <f t="shared" si="16"/>
        <v>0</v>
      </c>
      <c r="D33" s="35">
        <f t="shared" si="16"/>
        <v>0</v>
      </c>
      <c r="E33" s="35">
        <f t="shared" si="16"/>
        <v>0</v>
      </c>
      <c r="F33" s="35">
        <f t="shared" si="16"/>
        <v>0</v>
      </c>
      <c r="G33" s="35">
        <f t="shared" si="16"/>
        <v>0</v>
      </c>
      <c r="H33" s="35">
        <f t="shared" si="16"/>
        <v>0</v>
      </c>
      <c r="I33" s="35">
        <f t="shared" si="16"/>
        <v>0.6169443911167517</v>
      </c>
      <c r="J33" s="35">
        <f t="shared" si="16"/>
        <v>1.2207210063159937</v>
      </c>
      <c r="K33" s="35">
        <f t="shared" si="16"/>
        <v>1.5062453188999991</v>
      </c>
      <c r="L33" s="35">
        <f t="shared" si="16"/>
        <v>2.524080468846348</v>
      </c>
      <c r="M33" s="12"/>
    </row>
    <row r="34" spans="1:13" ht="9.75">
      <c r="A34" s="18" t="s">
        <v>82</v>
      </c>
      <c r="B34" s="36">
        <f>B32*'ISP Models'!B$8*12</f>
        <v>39162.37829139998</v>
      </c>
      <c r="C34" s="37">
        <f>C32*'ISP Models'!C$8*12</f>
        <v>0</v>
      </c>
      <c r="D34" s="37">
        <f>D32*'ISP Models'!D$8*12</f>
        <v>0</v>
      </c>
      <c r="E34" s="37">
        <f>E32*'ISP Models'!E$8*12</f>
        <v>0</v>
      </c>
      <c r="F34" s="37">
        <f>F32*'ISP Models'!F$8*12</f>
        <v>0</v>
      </c>
      <c r="G34" s="37">
        <f>G32*'ISP Models'!G$8*12</f>
        <v>0</v>
      </c>
      <c r="H34" s="37">
        <f>H32*'ISP Models'!H$8*12</f>
        <v>0</v>
      </c>
      <c r="I34" s="37">
        <f>I32*'ISP Models'!I$8*12</f>
        <v>1924866.5002842653</v>
      </c>
      <c r="J34" s="37">
        <f>J32*'ISP Models'!J$8*12</f>
        <v>761729.90794118</v>
      </c>
      <c r="K34" s="37">
        <f>K32*'ISP Models'!K$8*12</f>
        <v>234974.2697483999</v>
      </c>
      <c r="L34" s="37">
        <f>L32*'ISP Models'!L$8*12</f>
        <v>157502.62125601212</v>
      </c>
      <c r="M34" s="12"/>
    </row>
    <row r="35" spans="1:13" ht="9.75">
      <c r="A35" s="18"/>
      <c r="B35" s="36"/>
      <c r="C35" s="37"/>
      <c r="D35" s="37"/>
      <c r="E35" s="37"/>
      <c r="F35" s="37"/>
      <c r="G35" s="37"/>
      <c r="H35" s="37"/>
      <c r="I35" s="37"/>
      <c r="J35" s="37"/>
      <c r="K35" s="37"/>
      <c r="L35" s="37"/>
      <c r="M35" s="12"/>
    </row>
    <row r="36" spans="1:13" ht="9.75">
      <c r="A36" s="18" t="s">
        <v>9</v>
      </c>
      <c r="B36" s="38">
        <f>ROUNDUP(B32/'ISP Models'!$B$27,0)</f>
        <v>20</v>
      </c>
      <c r="C36" s="39">
        <f>ROUNDUP(C32/'ISP Models'!$B$27,0)</f>
        <v>0</v>
      </c>
      <c r="D36" s="40">
        <f>ROUNDUP(D32/'ISP Models'!$B$27,0)</f>
        <v>0</v>
      </c>
      <c r="E36" s="40">
        <f>ROUNDUP(E32/'ISP Models'!$B$27,0)</f>
        <v>0</v>
      </c>
      <c r="F36" s="40">
        <f>ROUNDUP(F32/'ISP Models'!$B$27,0)</f>
        <v>0</v>
      </c>
      <c r="G36" s="40">
        <f>ROUNDUP(G32/'ISP Models'!$B$27,0)</f>
        <v>0</v>
      </c>
      <c r="H36" s="40">
        <f>ROUNDUP(H32/'ISP Models'!$B$27,0)</f>
        <v>0</v>
      </c>
      <c r="I36" s="40">
        <f>ROUNDUP(I32/'ISP Models'!$B$27,0)</f>
        <v>964</v>
      </c>
      <c r="J36" s="40">
        <f>ROUNDUP(J32/'ISP Models'!$B$27,0)</f>
        <v>382</v>
      </c>
      <c r="K36" s="40">
        <f>ROUNDUP(K32/'ISP Models'!$B$27,0)</f>
        <v>118</v>
      </c>
      <c r="L36" s="40">
        <f>ROUNDUP(L32/'ISP Models'!$B$27,0)</f>
        <v>79</v>
      </c>
      <c r="M36" s="12"/>
    </row>
    <row r="37" spans="1:13" ht="9.75">
      <c r="A37" s="18" t="s">
        <v>10</v>
      </c>
      <c r="B37" s="41">
        <f>B36*'ISP Models'!$B$27</f>
        <v>1.28</v>
      </c>
      <c r="C37" s="42">
        <f>C36*'ISP Models'!$B$27</f>
        <v>0</v>
      </c>
      <c r="D37" s="43">
        <f>D36*'ISP Models'!$B$27</f>
        <v>0</v>
      </c>
      <c r="E37" s="43">
        <f>E36*'ISP Models'!$B$27</f>
        <v>0</v>
      </c>
      <c r="F37" s="43">
        <f>F36*'ISP Models'!$B$27</f>
        <v>0</v>
      </c>
      <c r="G37" s="43">
        <f>G36*'ISP Models'!$B$27</f>
        <v>0</v>
      </c>
      <c r="H37" s="43">
        <f>H36*'ISP Models'!$B$27</f>
        <v>0</v>
      </c>
      <c r="I37" s="43">
        <f>I36*'ISP Models'!$B$27</f>
        <v>61.696</v>
      </c>
      <c r="J37" s="43">
        <f>J36*'ISP Models'!$B$27</f>
        <v>24.448</v>
      </c>
      <c r="K37" s="43">
        <f>K36*'ISP Models'!$B$27</f>
        <v>7.5520000000000005</v>
      </c>
      <c r="L37" s="43">
        <f>L36*'ISP Models'!$B$27</f>
        <v>5.056</v>
      </c>
      <c r="M37" s="12"/>
    </row>
    <row r="38" spans="1:13" ht="9.75">
      <c r="A38" s="18" t="s">
        <v>11</v>
      </c>
      <c r="B38" s="41">
        <f aca="true" t="shared" si="17" ref="B38:L38">B37-B32</f>
        <v>0.02479556758333401</v>
      </c>
      <c r="C38" s="42">
        <f t="shared" si="17"/>
        <v>0</v>
      </c>
      <c r="D38" s="43">
        <f t="shared" si="17"/>
        <v>0</v>
      </c>
      <c r="E38" s="43">
        <f t="shared" si="17"/>
        <v>0</v>
      </c>
      <c r="F38" s="43">
        <f t="shared" si="17"/>
        <v>0</v>
      </c>
      <c r="G38" s="43">
        <f t="shared" si="17"/>
        <v>0</v>
      </c>
      <c r="H38" s="43">
        <f t="shared" si="17"/>
        <v>0</v>
      </c>
      <c r="I38" s="43">
        <f t="shared" si="17"/>
        <v>0.0015608883248319216</v>
      </c>
      <c r="J38" s="43">
        <f t="shared" si="17"/>
        <v>0.03357987368012871</v>
      </c>
      <c r="K38" s="43">
        <f t="shared" si="17"/>
        <v>0.020773405500004394</v>
      </c>
      <c r="L38" s="43">
        <f t="shared" si="17"/>
        <v>0.007839062307303912</v>
      </c>
      <c r="M38" s="12"/>
    </row>
    <row r="39" spans="1:13" ht="9.75">
      <c r="A39" s="18" t="s">
        <v>83</v>
      </c>
      <c r="B39" s="36">
        <f>B37*'ISP Models'!B$17*12</f>
        <v>15360</v>
      </c>
      <c r="C39" s="44">
        <f>C37*'ISP Models'!C$17*12</f>
        <v>0</v>
      </c>
      <c r="D39" s="45">
        <f>D37*'ISP Models'!D$17*12</f>
        <v>0</v>
      </c>
      <c r="E39" s="45">
        <f>E37*'ISP Models'!E$17*12</f>
        <v>0</v>
      </c>
      <c r="F39" s="45">
        <f>F37*'ISP Models'!F$17*12</f>
        <v>0</v>
      </c>
      <c r="G39" s="45">
        <f>G37*'ISP Models'!G$17*12</f>
        <v>0</v>
      </c>
      <c r="H39" s="45">
        <f>H37*'ISP Models'!H$17*12</f>
        <v>0</v>
      </c>
      <c r="I39" s="45">
        <f>I37*'ISP Models'!I$17*12</f>
        <v>740352</v>
      </c>
      <c r="J39" s="45">
        <f>J37*'ISP Models'!J$17*12</f>
        <v>293376</v>
      </c>
      <c r="K39" s="45">
        <f>K37*'ISP Models'!K$17*12</f>
        <v>90624.00000000001</v>
      </c>
      <c r="L39" s="45">
        <f>L37*'ISP Models'!L$17*12</f>
        <v>60672</v>
      </c>
      <c r="M39" s="12"/>
    </row>
    <row r="40" spans="1:13" ht="9.75">
      <c r="A40" s="18" t="s">
        <v>84</v>
      </c>
      <c r="B40" s="36">
        <f>IF(B12&gt;0,'ISP Models'!$B$28,0)</f>
        <v>1000</v>
      </c>
      <c r="C40" s="44">
        <f>IF(C12&gt;0,'ISP Models'!$B$28,0)</f>
        <v>0</v>
      </c>
      <c r="D40" s="45">
        <f>IF(D12&gt;0,'ISP Models'!$B$28,0)</f>
        <v>0</v>
      </c>
      <c r="E40" s="45">
        <f>IF(E12&gt;0,'ISP Models'!$B$28,0)</f>
        <v>0</v>
      </c>
      <c r="F40" s="45">
        <f>IF(F12&gt;0,'ISP Models'!$B$28,0)</f>
        <v>0</v>
      </c>
      <c r="G40" s="45">
        <f>IF(G12&gt;0,'ISP Models'!$B$28,0)</f>
        <v>0</v>
      </c>
      <c r="H40" s="45">
        <f>IF(H12&gt;0,'ISP Models'!$B$28,0)</f>
        <v>0</v>
      </c>
      <c r="I40" s="45">
        <f>IF(I12&gt;0,'ISP Models'!$B$28,0)</f>
        <v>1000</v>
      </c>
      <c r="J40" s="45">
        <f>IF(J12&gt;0,'ISP Models'!$B$28,0)</f>
        <v>1000</v>
      </c>
      <c r="K40" s="45">
        <f>IF(K12&gt;0,'ISP Models'!$B$28,0)</f>
        <v>1000</v>
      </c>
      <c r="L40" s="45">
        <f>IF(L12&gt;0,'ISP Models'!$B$28,0)</f>
        <v>1000</v>
      </c>
      <c r="M40" s="12"/>
    </row>
    <row r="41" spans="1:13" ht="10.5" thickBot="1">
      <c r="A41" s="18"/>
      <c r="B41" s="46"/>
      <c r="C41" s="47"/>
      <c r="D41" s="47"/>
      <c r="E41" s="47"/>
      <c r="F41" s="47"/>
      <c r="G41" s="47"/>
      <c r="H41" s="47"/>
      <c r="I41" s="47"/>
      <c r="J41" s="47"/>
      <c r="K41" s="47"/>
      <c r="L41" s="48"/>
      <c r="M41" s="12"/>
    </row>
    <row r="42" spans="1:13" ht="10.5" thickTop="1">
      <c r="A42" s="18" t="s">
        <v>0</v>
      </c>
      <c r="B42" s="36">
        <f>B34-(B39+B40)</f>
        <v>22802.378291399982</v>
      </c>
      <c r="C42" s="45">
        <f aca="true" t="shared" si="18" ref="C42:L42">C34-(C39+C40)</f>
        <v>0</v>
      </c>
      <c r="D42" s="45">
        <f t="shared" si="18"/>
        <v>0</v>
      </c>
      <c r="E42" s="45">
        <f t="shared" si="18"/>
        <v>0</v>
      </c>
      <c r="F42" s="45">
        <f t="shared" si="18"/>
        <v>0</v>
      </c>
      <c r="G42" s="45">
        <f t="shared" si="18"/>
        <v>0</v>
      </c>
      <c r="H42" s="45">
        <f t="shared" si="18"/>
        <v>0</v>
      </c>
      <c r="I42" s="45">
        <f t="shared" si="18"/>
        <v>1183514.5002842653</v>
      </c>
      <c r="J42" s="45">
        <f t="shared" si="18"/>
        <v>467353.90794118005</v>
      </c>
      <c r="K42" s="45">
        <f t="shared" si="18"/>
        <v>143350.2697483999</v>
      </c>
      <c r="L42" s="45">
        <f t="shared" si="18"/>
        <v>95830.62125601212</v>
      </c>
      <c r="M42" s="12"/>
    </row>
    <row r="43" spans="1:13" ht="9.75">
      <c r="A43" s="18"/>
      <c r="B43" s="27"/>
      <c r="C43" s="28"/>
      <c r="D43" s="28"/>
      <c r="E43" s="28"/>
      <c r="F43" s="28"/>
      <c r="G43" s="28"/>
      <c r="H43" s="28"/>
      <c r="I43" s="28"/>
      <c r="J43" s="28"/>
      <c r="K43" s="28"/>
      <c r="L43" s="28"/>
      <c r="M43" s="12"/>
    </row>
    <row r="44" spans="1:13" ht="9.75">
      <c r="A44" s="18" t="s">
        <v>8</v>
      </c>
      <c r="B44" s="30">
        <f aca="true" t="shared" si="19" ref="B44:L44">B32*B$12</f>
        <v>1.255204432416666</v>
      </c>
      <c r="C44" s="31">
        <f t="shared" si="19"/>
        <v>0</v>
      </c>
      <c r="D44" s="31">
        <f t="shared" si="19"/>
        <v>0</v>
      </c>
      <c r="E44" s="31">
        <f t="shared" si="19"/>
        <v>0</v>
      </c>
      <c r="F44" s="31">
        <f t="shared" si="19"/>
        <v>0</v>
      </c>
      <c r="G44" s="31">
        <f t="shared" si="19"/>
        <v>0</v>
      </c>
      <c r="H44" s="31">
        <f t="shared" si="19"/>
        <v>0</v>
      </c>
      <c r="I44" s="31">
        <f t="shared" si="19"/>
        <v>185.0833173350255</v>
      </c>
      <c r="J44" s="31">
        <f t="shared" si="19"/>
        <v>122.07210063159935</v>
      </c>
      <c r="K44" s="31">
        <f t="shared" si="19"/>
        <v>45.18735956699997</v>
      </c>
      <c r="L44" s="31">
        <f t="shared" si="19"/>
        <v>50.48160937692696</v>
      </c>
      <c r="M44" s="12"/>
    </row>
    <row r="45" spans="1:13" ht="9.75">
      <c r="A45" s="18" t="s">
        <v>80</v>
      </c>
      <c r="B45" s="36">
        <f aca="true" t="shared" si="20" ref="B45:L45">B34*B$12</f>
        <v>39162.37829139998</v>
      </c>
      <c r="C45" s="45">
        <f t="shared" si="20"/>
        <v>0</v>
      </c>
      <c r="D45" s="45">
        <f t="shared" si="20"/>
        <v>0</v>
      </c>
      <c r="E45" s="45">
        <f t="shared" si="20"/>
        <v>0</v>
      </c>
      <c r="F45" s="45">
        <f t="shared" si="20"/>
        <v>0</v>
      </c>
      <c r="G45" s="45">
        <f t="shared" si="20"/>
        <v>0</v>
      </c>
      <c r="H45" s="45">
        <f t="shared" si="20"/>
        <v>0</v>
      </c>
      <c r="I45" s="45">
        <f t="shared" si="20"/>
        <v>5774599.500852795</v>
      </c>
      <c r="J45" s="45">
        <f t="shared" si="20"/>
        <v>3808649.5397059005</v>
      </c>
      <c r="K45" s="45">
        <f t="shared" si="20"/>
        <v>1409845.6184903993</v>
      </c>
      <c r="L45" s="45">
        <f t="shared" si="20"/>
        <v>1575026.2125601212</v>
      </c>
      <c r="M45" s="12"/>
    </row>
    <row r="46" spans="1:13" ht="9.75">
      <c r="A46" s="18" t="s">
        <v>5</v>
      </c>
      <c r="B46" s="36">
        <f>B37*'ISP Models'!$B$24*12</f>
        <v>15360</v>
      </c>
      <c r="C46" s="37">
        <f>C37*'ISP Models'!$B$24*12</f>
        <v>0</v>
      </c>
      <c r="D46" s="37">
        <f>D37*'ISP Models'!$B$24*12</f>
        <v>0</v>
      </c>
      <c r="E46" s="37">
        <f>E37*'ISP Models'!$B$24*12</f>
        <v>0</v>
      </c>
      <c r="F46" s="37">
        <f>F37*'ISP Models'!$B$24*12</f>
        <v>0</v>
      </c>
      <c r="G46" s="37">
        <f>G37*'ISP Models'!$B$24*12</f>
        <v>0</v>
      </c>
      <c r="H46" s="37">
        <f>H37*'ISP Models'!$B$24*12</f>
        <v>0</v>
      </c>
      <c r="I46" s="37">
        <f>I37*'ISP Models'!$B$24*12</f>
        <v>740352</v>
      </c>
      <c r="J46" s="37">
        <f>J37*'ISP Models'!$B$24*12</f>
        <v>293376</v>
      </c>
      <c r="K46" s="37">
        <f>K37*'ISP Models'!$B$24*12</f>
        <v>90624.00000000001</v>
      </c>
      <c r="L46" s="37">
        <f>L37*'ISP Models'!$B$24*12</f>
        <v>60672</v>
      </c>
      <c r="M46" s="12"/>
    </row>
    <row r="47" spans="1:13" ht="9.75">
      <c r="A47" s="18" t="s">
        <v>6</v>
      </c>
      <c r="B47" s="36">
        <f aca="true" t="shared" si="21" ref="B47:L47">B40*B12</f>
        <v>1000</v>
      </c>
      <c r="C47" s="37">
        <f t="shared" si="21"/>
        <v>0</v>
      </c>
      <c r="D47" s="37">
        <f t="shared" si="21"/>
        <v>0</v>
      </c>
      <c r="E47" s="37">
        <f t="shared" si="21"/>
        <v>0</v>
      </c>
      <c r="F47" s="37">
        <f t="shared" si="21"/>
        <v>0</v>
      </c>
      <c r="G47" s="37">
        <f t="shared" si="21"/>
        <v>0</v>
      </c>
      <c r="H47" s="37">
        <f t="shared" si="21"/>
        <v>0</v>
      </c>
      <c r="I47" s="37">
        <f t="shared" si="21"/>
        <v>3000</v>
      </c>
      <c r="J47" s="37">
        <f t="shared" si="21"/>
        <v>5000</v>
      </c>
      <c r="K47" s="37">
        <f t="shared" si="21"/>
        <v>6000</v>
      </c>
      <c r="L47" s="37">
        <f t="shared" si="21"/>
        <v>10000</v>
      </c>
      <c r="M47" s="12"/>
    </row>
    <row r="48" spans="1:13" ht="10.5" thickBot="1">
      <c r="A48" s="18"/>
      <c r="B48" s="46"/>
      <c r="C48" s="47"/>
      <c r="D48" s="47"/>
      <c r="E48" s="47"/>
      <c r="F48" s="47"/>
      <c r="G48" s="47"/>
      <c r="H48" s="47"/>
      <c r="I48" s="47"/>
      <c r="J48" s="47"/>
      <c r="K48" s="47"/>
      <c r="L48" s="47"/>
      <c r="M48" s="12"/>
    </row>
    <row r="49" spans="1:13" ht="12" thickBot="1" thickTop="1">
      <c r="A49" s="18" t="s">
        <v>0</v>
      </c>
      <c r="B49" s="49">
        <f>B45-(B46+B47)</f>
        <v>22802.378291399982</v>
      </c>
      <c r="C49" s="37">
        <f aca="true" t="shared" si="22" ref="C49:L49">C45-(C46+C47)</f>
        <v>0</v>
      </c>
      <c r="D49" s="37">
        <f t="shared" si="22"/>
        <v>0</v>
      </c>
      <c r="E49" s="37">
        <f t="shared" si="22"/>
        <v>0</v>
      </c>
      <c r="F49" s="37">
        <f t="shared" si="22"/>
        <v>0</v>
      </c>
      <c r="G49" s="37">
        <f t="shared" si="22"/>
        <v>0</v>
      </c>
      <c r="H49" s="37">
        <f t="shared" si="22"/>
        <v>0</v>
      </c>
      <c r="I49" s="37">
        <f t="shared" si="22"/>
        <v>5031247.500852795</v>
      </c>
      <c r="J49" s="37">
        <f t="shared" si="22"/>
        <v>3510273.5397059005</v>
      </c>
      <c r="K49" s="37">
        <f t="shared" si="22"/>
        <v>1313221.6184903993</v>
      </c>
      <c r="L49" s="37">
        <f t="shared" si="22"/>
        <v>1504354.2125601212</v>
      </c>
      <c r="M49" s="12"/>
    </row>
    <row r="50" ht="9.75">
      <c r="M50" s="12"/>
    </row>
    <row r="51" spans="1:2" ht="9.75">
      <c r="A51" s="52" t="s">
        <v>64</v>
      </c>
      <c r="B51" s="72">
        <f>SUM(B14:L14)/SUM(B5:L5)</f>
        <v>0.8443907740611037</v>
      </c>
    </row>
    <row r="52" spans="1:2" ht="9.75">
      <c r="A52" s="52"/>
      <c r="B52" s="52"/>
    </row>
    <row r="53" spans="1:2" ht="9.75">
      <c r="A53" s="52" t="s">
        <v>81</v>
      </c>
      <c r="B53" s="73">
        <f>SUM(B49:L49)</f>
        <v>11381899.249900617</v>
      </c>
    </row>
  </sheetData>
  <sheetProtection/>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L29"/>
  <sheetViews>
    <sheetView tabSelected="1" zoomScalePageLayoutView="0" workbookViewId="0" topLeftCell="A1">
      <pane xSplit="1" ySplit="4" topLeftCell="B13" activePane="bottomRight" state="frozen"/>
      <selection pane="topLeft" activeCell="A1" sqref="A1"/>
      <selection pane="topRight" activeCell="B1" sqref="B1"/>
      <selection pane="bottomLeft" activeCell="A4" sqref="A4"/>
      <selection pane="bottomRight" activeCell="A37" sqref="A37"/>
    </sheetView>
  </sheetViews>
  <sheetFormatPr defaultColWidth="9.140625" defaultRowHeight="12.75"/>
  <cols>
    <col min="1" max="1" width="35.00390625" style="3" customWidth="1"/>
    <col min="2" max="2" width="8.421875" style="3" bestFit="1" customWidth="1"/>
    <col min="3" max="3" width="12.8515625" style="3" bestFit="1" customWidth="1"/>
    <col min="4" max="4" width="11.421875" style="3" bestFit="1" customWidth="1"/>
    <col min="5" max="7" width="10.7109375" style="3" bestFit="1" customWidth="1"/>
    <col min="8" max="9" width="9.8515625" style="3" bestFit="1" customWidth="1"/>
    <col min="10" max="11" width="8.421875" style="3" bestFit="1" customWidth="1"/>
    <col min="12" max="12" width="7.7109375" style="3" bestFit="1" customWidth="1"/>
    <col min="13" max="16384" width="9.140625" style="3" customWidth="1"/>
  </cols>
  <sheetData>
    <row r="1" ht="11.25">
      <c r="A1" s="52" t="s">
        <v>53</v>
      </c>
    </row>
    <row r="2" ht="12" thickBot="1"/>
    <row r="3" spans="1:12" ht="11.25">
      <c r="A3" s="53" t="s">
        <v>45</v>
      </c>
      <c r="B3" s="4" t="s">
        <v>24</v>
      </c>
      <c r="C3" s="5" t="s">
        <v>49</v>
      </c>
      <c r="D3" s="5"/>
      <c r="E3" s="5"/>
      <c r="F3" s="6" t="s">
        <v>15</v>
      </c>
      <c r="G3" s="6"/>
      <c r="H3" s="6"/>
      <c r="I3" s="7" t="s">
        <v>16</v>
      </c>
      <c r="J3" s="7"/>
      <c r="K3" s="7"/>
      <c r="L3" s="7"/>
    </row>
    <row r="4" spans="1:12" ht="11.25">
      <c r="A4" s="53" t="s">
        <v>46</v>
      </c>
      <c r="B4" s="10" t="s">
        <v>25</v>
      </c>
      <c r="C4" s="54" t="s">
        <v>50</v>
      </c>
      <c r="D4" s="3" t="s">
        <v>51</v>
      </c>
      <c r="E4" s="3" t="s">
        <v>52</v>
      </c>
      <c r="F4" s="12" t="s">
        <v>17</v>
      </c>
      <c r="G4" s="3" t="s">
        <v>18</v>
      </c>
      <c r="H4" s="3" t="s">
        <v>19</v>
      </c>
      <c r="I4" s="12" t="s">
        <v>20</v>
      </c>
      <c r="J4" s="3" t="s">
        <v>21</v>
      </c>
      <c r="K4" s="3" t="s">
        <v>22</v>
      </c>
      <c r="L4" s="3" t="s">
        <v>23</v>
      </c>
    </row>
    <row r="5" spans="2:9" ht="11.25">
      <c r="B5" s="10"/>
      <c r="C5" s="54"/>
      <c r="F5" s="12"/>
      <c r="I5" s="12"/>
    </row>
    <row r="6" spans="1:12" ht="11.25">
      <c r="A6" s="2" t="s">
        <v>26</v>
      </c>
      <c r="B6" s="55"/>
      <c r="C6" s="56"/>
      <c r="D6" s="57"/>
      <c r="E6" s="57"/>
      <c r="F6" s="58"/>
      <c r="G6" s="57"/>
      <c r="H6" s="57"/>
      <c r="I6" s="58"/>
      <c r="J6" s="57"/>
      <c r="K6" s="57"/>
      <c r="L6" s="57"/>
    </row>
    <row r="7" spans="1:12" ht="11.25">
      <c r="A7" s="9" t="s">
        <v>47</v>
      </c>
      <c r="B7" s="59">
        <v>5</v>
      </c>
      <c r="C7" s="60">
        <v>50000</v>
      </c>
      <c r="D7" s="61">
        <v>10000</v>
      </c>
      <c r="E7" s="61">
        <v>2500</v>
      </c>
      <c r="F7" s="62">
        <v>1000</v>
      </c>
      <c r="G7" s="61">
        <v>500</v>
      </c>
      <c r="H7" s="61">
        <v>250</v>
      </c>
      <c r="I7" s="62">
        <v>100</v>
      </c>
      <c r="J7" s="61">
        <v>20</v>
      </c>
      <c r="K7" s="61">
        <v>5</v>
      </c>
      <c r="L7" s="61">
        <v>2</v>
      </c>
    </row>
    <row r="8" spans="1:12" ht="11.25">
      <c r="A8" s="9" t="s">
        <v>40</v>
      </c>
      <c r="B8" s="59">
        <f aca="true" t="shared" si="0" ref="B8:L8">$B$23</f>
        <v>2600</v>
      </c>
      <c r="C8" s="63">
        <f t="shared" si="0"/>
        <v>2600</v>
      </c>
      <c r="D8" s="60">
        <f t="shared" si="0"/>
        <v>2600</v>
      </c>
      <c r="E8" s="60">
        <f t="shared" si="0"/>
        <v>2600</v>
      </c>
      <c r="F8" s="60">
        <f t="shared" si="0"/>
        <v>2600</v>
      </c>
      <c r="G8" s="60">
        <f t="shared" si="0"/>
        <v>2600</v>
      </c>
      <c r="H8" s="60">
        <f t="shared" si="0"/>
        <v>2600</v>
      </c>
      <c r="I8" s="60">
        <f t="shared" si="0"/>
        <v>2600</v>
      </c>
      <c r="J8" s="60">
        <f t="shared" si="0"/>
        <v>2600</v>
      </c>
      <c r="K8" s="60">
        <f t="shared" si="0"/>
        <v>2600</v>
      </c>
      <c r="L8" s="60">
        <f t="shared" si="0"/>
        <v>2600</v>
      </c>
    </row>
    <row r="9" spans="1:12" ht="11.25">
      <c r="A9" s="9" t="s">
        <v>42</v>
      </c>
      <c r="B9" s="36">
        <f>B7*B8</f>
        <v>13000</v>
      </c>
      <c r="C9" s="45">
        <f>C7*C8</f>
        <v>130000000</v>
      </c>
      <c r="D9" s="45">
        <f aca="true" t="shared" si="1" ref="D9:L9">D7*D8</f>
        <v>26000000</v>
      </c>
      <c r="E9" s="45">
        <f t="shared" si="1"/>
        <v>6500000</v>
      </c>
      <c r="F9" s="45">
        <f t="shared" si="1"/>
        <v>2600000</v>
      </c>
      <c r="G9" s="45">
        <f t="shared" si="1"/>
        <v>1300000</v>
      </c>
      <c r="H9" s="45">
        <f t="shared" si="1"/>
        <v>650000</v>
      </c>
      <c r="I9" s="45">
        <f t="shared" si="1"/>
        <v>260000</v>
      </c>
      <c r="J9" s="45">
        <f t="shared" si="1"/>
        <v>52000</v>
      </c>
      <c r="K9" s="45">
        <f t="shared" si="1"/>
        <v>13000</v>
      </c>
      <c r="L9" s="45">
        <f t="shared" si="1"/>
        <v>5200</v>
      </c>
    </row>
    <row r="10" spans="1:12" ht="11.25">
      <c r="A10" s="9"/>
      <c r="B10" s="36"/>
      <c r="C10" s="45"/>
      <c r="D10" s="45"/>
      <c r="E10" s="45"/>
      <c r="F10" s="45"/>
      <c r="G10" s="45"/>
      <c r="H10" s="45"/>
      <c r="I10" s="45"/>
      <c r="J10" s="45"/>
      <c r="K10" s="45"/>
      <c r="L10" s="45"/>
    </row>
    <row r="11" spans="1:12" ht="11.25">
      <c r="A11" s="9" t="s">
        <v>41</v>
      </c>
      <c r="B11" s="36">
        <f>B9*12</f>
        <v>156000</v>
      </c>
      <c r="C11" s="45">
        <f>C9*12</f>
        <v>1560000000</v>
      </c>
      <c r="D11" s="45">
        <f aca="true" t="shared" si="2" ref="D11:L11">D9*12</f>
        <v>312000000</v>
      </c>
      <c r="E11" s="45">
        <f t="shared" si="2"/>
        <v>78000000</v>
      </c>
      <c r="F11" s="45">
        <f t="shared" si="2"/>
        <v>31200000</v>
      </c>
      <c r="G11" s="45">
        <f t="shared" si="2"/>
        <v>15600000</v>
      </c>
      <c r="H11" s="45">
        <f t="shared" si="2"/>
        <v>7800000</v>
      </c>
      <c r="I11" s="45">
        <f t="shared" si="2"/>
        <v>3120000</v>
      </c>
      <c r="J11" s="45">
        <f t="shared" si="2"/>
        <v>624000</v>
      </c>
      <c r="K11" s="45">
        <f t="shared" si="2"/>
        <v>156000</v>
      </c>
      <c r="L11" s="45">
        <f t="shared" si="2"/>
        <v>62400</v>
      </c>
    </row>
    <row r="12" spans="1:12" ht="11.25">
      <c r="A12" s="9"/>
      <c r="B12" s="36"/>
      <c r="C12" s="45"/>
      <c r="D12" s="45"/>
      <c r="E12" s="45"/>
      <c r="F12" s="45"/>
      <c r="G12" s="45"/>
      <c r="H12" s="45"/>
      <c r="I12" s="45"/>
      <c r="J12" s="45"/>
      <c r="K12" s="45"/>
      <c r="L12" s="45"/>
    </row>
    <row r="13" spans="1:12" ht="11.25">
      <c r="A13" s="9" t="s">
        <v>14</v>
      </c>
      <c r="B13" s="64">
        <f>$B$25</f>
        <v>0.3</v>
      </c>
      <c r="C13" s="65">
        <f aca="true" t="shared" si="3" ref="C13:L13">$B$25</f>
        <v>0.3</v>
      </c>
      <c r="D13" s="66">
        <f t="shared" si="3"/>
        <v>0.3</v>
      </c>
      <c r="E13" s="66">
        <f t="shared" si="3"/>
        <v>0.3</v>
      </c>
      <c r="F13" s="66">
        <f t="shared" si="3"/>
        <v>0.3</v>
      </c>
      <c r="G13" s="66">
        <f t="shared" si="3"/>
        <v>0.3</v>
      </c>
      <c r="H13" s="66">
        <f t="shared" si="3"/>
        <v>0.3</v>
      </c>
      <c r="I13" s="66">
        <f t="shared" si="3"/>
        <v>0.3</v>
      </c>
      <c r="J13" s="66">
        <f t="shared" si="3"/>
        <v>0.3</v>
      </c>
      <c r="K13" s="66">
        <f t="shared" si="3"/>
        <v>0.3</v>
      </c>
      <c r="L13" s="66">
        <f t="shared" si="3"/>
        <v>0.3</v>
      </c>
    </row>
    <row r="14" spans="1:12" ht="11.25">
      <c r="A14" s="9" t="s">
        <v>44</v>
      </c>
      <c r="B14" s="38">
        <f>B13*B7</f>
        <v>1.5</v>
      </c>
      <c r="C14" s="40">
        <f>C13*C7</f>
        <v>15000</v>
      </c>
      <c r="D14" s="40">
        <f aca="true" t="shared" si="4" ref="D14:L14">D13*D7</f>
        <v>3000</v>
      </c>
      <c r="E14" s="40">
        <f t="shared" si="4"/>
        <v>750</v>
      </c>
      <c r="F14" s="40">
        <f t="shared" si="4"/>
        <v>300</v>
      </c>
      <c r="G14" s="40">
        <f t="shared" si="4"/>
        <v>150</v>
      </c>
      <c r="H14" s="40">
        <f t="shared" si="4"/>
        <v>75</v>
      </c>
      <c r="I14" s="40">
        <f t="shared" si="4"/>
        <v>30</v>
      </c>
      <c r="J14" s="40">
        <f t="shared" si="4"/>
        <v>6</v>
      </c>
      <c r="K14" s="40">
        <f t="shared" si="4"/>
        <v>1.5</v>
      </c>
      <c r="L14" s="40">
        <f t="shared" si="4"/>
        <v>0.6</v>
      </c>
    </row>
    <row r="15" spans="1:12" ht="11.25">
      <c r="A15" s="9" t="s">
        <v>43</v>
      </c>
      <c r="B15" s="67">
        <f>B11*B13</f>
        <v>46800</v>
      </c>
      <c r="C15" s="68">
        <f>C11*C13</f>
        <v>468000000</v>
      </c>
      <c r="D15" s="68">
        <f aca="true" t="shared" si="5" ref="D15:L15">D11*D13</f>
        <v>93600000</v>
      </c>
      <c r="E15" s="68">
        <f t="shared" si="5"/>
        <v>23400000</v>
      </c>
      <c r="F15" s="68">
        <f t="shared" si="5"/>
        <v>9360000</v>
      </c>
      <c r="G15" s="68">
        <f t="shared" si="5"/>
        <v>4680000</v>
      </c>
      <c r="H15" s="68">
        <f t="shared" si="5"/>
        <v>2340000</v>
      </c>
      <c r="I15" s="68">
        <f t="shared" si="5"/>
        <v>936000</v>
      </c>
      <c r="J15" s="68">
        <f t="shared" si="5"/>
        <v>187200</v>
      </c>
      <c r="K15" s="68">
        <f t="shared" si="5"/>
        <v>46800</v>
      </c>
      <c r="L15" s="68">
        <f t="shared" si="5"/>
        <v>18720</v>
      </c>
    </row>
    <row r="16" spans="1:12" ht="11.25">
      <c r="A16" s="9"/>
      <c r="B16" s="38"/>
      <c r="C16" s="40"/>
      <c r="D16" s="40"/>
      <c r="E16" s="40"/>
      <c r="F16" s="40"/>
      <c r="G16" s="40"/>
      <c r="H16" s="40"/>
      <c r="I16" s="40"/>
      <c r="J16" s="40"/>
      <c r="K16" s="40"/>
      <c r="L16" s="40"/>
    </row>
    <row r="17" spans="1:12" ht="11.25">
      <c r="A17" s="9" t="s">
        <v>48</v>
      </c>
      <c r="B17" s="59">
        <f aca="true" t="shared" si="6" ref="B17:L17">$B$24</f>
        <v>1000</v>
      </c>
      <c r="C17" s="63">
        <f t="shared" si="6"/>
        <v>1000</v>
      </c>
      <c r="D17" s="60">
        <f t="shared" si="6"/>
        <v>1000</v>
      </c>
      <c r="E17" s="60">
        <f t="shared" si="6"/>
        <v>1000</v>
      </c>
      <c r="F17" s="60">
        <f t="shared" si="6"/>
        <v>1000</v>
      </c>
      <c r="G17" s="60">
        <f t="shared" si="6"/>
        <v>1000</v>
      </c>
      <c r="H17" s="60">
        <f t="shared" si="6"/>
        <v>1000</v>
      </c>
      <c r="I17" s="60">
        <f t="shared" si="6"/>
        <v>1000</v>
      </c>
      <c r="J17" s="60">
        <f t="shared" si="6"/>
        <v>1000</v>
      </c>
      <c r="K17" s="60">
        <f t="shared" si="6"/>
        <v>1000</v>
      </c>
      <c r="L17" s="60">
        <f t="shared" si="6"/>
        <v>1000</v>
      </c>
    </row>
    <row r="18" spans="1:12" ht="11.25">
      <c r="A18" s="9" t="s">
        <v>56</v>
      </c>
      <c r="B18" s="36">
        <f>B17*B14</f>
        <v>1500</v>
      </c>
      <c r="C18" s="45">
        <f>C17*C14</f>
        <v>15000000</v>
      </c>
      <c r="D18" s="45">
        <f aca="true" t="shared" si="7" ref="D18:L18">D17*D14</f>
        <v>3000000</v>
      </c>
      <c r="E18" s="45">
        <f t="shared" si="7"/>
        <v>750000</v>
      </c>
      <c r="F18" s="45">
        <f t="shared" si="7"/>
        <v>300000</v>
      </c>
      <c r="G18" s="45">
        <f t="shared" si="7"/>
        <v>150000</v>
      </c>
      <c r="H18" s="45">
        <f t="shared" si="7"/>
        <v>75000</v>
      </c>
      <c r="I18" s="45">
        <f t="shared" si="7"/>
        <v>30000</v>
      </c>
      <c r="J18" s="45">
        <f t="shared" si="7"/>
        <v>6000</v>
      </c>
      <c r="K18" s="45">
        <f t="shared" si="7"/>
        <v>1500</v>
      </c>
      <c r="L18" s="45">
        <f t="shared" si="7"/>
        <v>600</v>
      </c>
    </row>
    <row r="19" spans="1:12" s="54" customFormat="1" ht="11.25">
      <c r="A19" s="69"/>
      <c r="B19" s="40"/>
      <c r="C19" s="40"/>
      <c r="D19" s="40"/>
      <c r="E19" s="40"/>
      <c r="F19" s="40"/>
      <c r="G19" s="40"/>
      <c r="H19" s="40"/>
      <c r="I19" s="40"/>
      <c r="J19" s="40"/>
      <c r="K19" s="40"/>
      <c r="L19" s="40"/>
    </row>
    <row r="20" spans="1:12" s="54" customFormat="1" ht="11.25">
      <c r="A20" s="69"/>
      <c r="B20" s="40"/>
      <c r="C20" s="40"/>
      <c r="D20" s="40"/>
      <c r="E20" s="40"/>
      <c r="F20" s="40"/>
      <c r="G20" s="40"/>
      <c r="H20" s="40"/>
      <c r="I20" s="40"/>
      <c r="J20" s="40"/>
      <c r="K20" s="40"/>
      <c r="L20" s="40"/>
    </row>
    <row r="21" spans="1:12" s="54" customFormat="1" ht="11.25">
      <c r="A21" s="69"/>
      <c r="B21" s="40"/>
      <c r="C21" s="40"/>
      <c r="D21" s="40"/>
      <c r="E21" s="40"/>
      <c r="F21" s="40"/>
      <c r="G21" s="40"/>
      <c r="H21" s="40"/>
      <c r="I21" s="40"/>
      <c r="J21" s="40"/>
      <c r="K21" s="40"/>
      <c r="L21" s="40"/>
    </row>
    <row r="22" spans="1:12" s="54" customFormat="1" ht="11.25">
      <c r="A22" s="69" t="s">
        <v>88</v>
      </c>
      <c r="B22" s="40"/>
      <c r="C22" s="40"/>
      <c r="D22" s="40"/>
      <c r="E22" s="40"/>
      <c r="F22" s="40"/>
      <c r="G22" s="40"/>
      <c r="H22" s="40"/>
      <c r="I22" s="40"/>
      <c r="J22" s="40"/>
      <c r="K22" s="40"/>
      <c r="L22" s="40"/>
    </row>
    <row r="23" spans="1:12" s="54" customFormat="1" ht="11.25">
      <c r="A23" s="70" t="s">
        <v>85</v>
      </c>
      <c r="B23" s="74">
        <v>2600</v>
      </c>
      <c r="C23" s="40"/>
      <c r="D23" s="40"/>
      <c r="E23" s="40"/>
      <c r="F23" s="40"/>
      <c r="G23" s="40"/>
      <c r="H23" s="40"/>
      <c r="I23" s="40"/>
      <c r="J23" s="40"/>
      <c r="K23" s="40"/>
      <c r="L23" s="40"/>
    </row>
    <row r="24" spans="1:12" ht="11.25">
      <c r="A24" s="18" t="s">
        <v>86</v>
      </c>
      <c r="B24" s="75">
        <v>1000</v>
      </c>
      <c r="C24" s="11"/>
      <c r="D24" s="11"/>
      <c r="E24" s="11"/>
      <c r="F24" s="11"/>
      <c r="G24" s="11"/>
      <c r="H24" s="11"/>
      <c r="I24" s="11"/>
      <c r="J24" s="11"/>
      <c r="K24" s="11"/>
      <c r="L24" s="11"/>
    </row>
    <row r="25" spans="1:12" ht="11.25">
      <c r="A25" s="18" t="s">
        <v>89</v>
      </c>
      <c r="B25" s="76">
        <v>0.3</v>
      </c>
      <c r="C25" s="11"/>
      <c r="D25" s="11"/>
      <c r="E25" s="11"/>
      <c r="F25" s="11"/>
      <c r="G25" s="11"/>
      <c r="H25" s="11"/>
      <c r="I25" s="11"/>
      <c r="J25" s="11"/>
      <c r="K25" s="11"/>
      <c r="L25" s="11"/>
    </row>
    <row r="26" spans="1:12" ht="11.25">
      <c r="A26" s="18"/>
      <c r="B26" s="24"/>
      <c r="C26" s="11"/>
      <c r="D26" s="11"/>
      <c r="E26" s="11"/>
      <c r="F26" s="11"/>
      <c r="G26" s="11"/>
      <c r="H26" s="11"/>
      <c r="I26" s="11"/>
      <c r="J26" s="11"/>
      <c r="K26" s="11"/>
      <c r="L26" s="11"/>
    </row>
    <row r="27" spans="1:12" ht="11.25">
      <c r="A27" s="18" t="s">
        <v>87</v>
      </c>
      <c r="B27" s="77">
        <v>0.064</v>
      </c>
      <c r="C27" s="11"/>
      <c r="D27" s="11"/>
      <c r="E27" s="11"/>
      <c r="F27" s="11"/>
      <c r="G27" s="11"/>
      <c r="H27" s="11"/>
      <c r="I27" s="11"/>
      <c r="J27" s="11"/>
      <c r="K27" s="11"/>
      <c r="L27" s="11"/>
    </row>
    <row r="28" spans="1:12" ht="11.25">
      <c r="A28" s="18" t="s">
        <v>90</v>
      </c>
      <c r="B28" s="75">
        <v>1000</v>
      </c>
      <c r="C28" s="11"/>
      <c r="D28" s="11"/>
      <c r="E28" s="11"/>
      <c r="F28" s="11"/>
      <c r="G28" s="11"/>
      <c r="H28" s="11"/>
      <c r="I28" s="11"/>
      <c r="J28" s="11"/>
      <c r="K28" s="11"/>
      <c r="L28" s="11"/>
    </row>
    <row r="29" spans="2:12" ht="11.25">
      <c r="B29" s="11"/>
      <c r="C29" s="11"/>
      <c r="D29" s="11"/>
      <c r="E29" s="11"/>
      <c r="F29" s="11"/>
      <c r="G29" s="11"/>
      <c r="H29" s="11"/>
      <c r="I29" s="11"/>
      <c r="J29" s="11"/>
      <c r="K29" s="11"/>
      <c r="L29" s="11"/>
    </row>
  </sheetData>
  <sheetProtection/>
  <printOptions/>
  <pageMargins left="0.75" right="0.75" top="1" bottom="1" header="0.5" footer="0.5"/>
  <pageSetup horizontalDpi="300" verticalDpi="300" orientation="portrait" paperSize="9"/>
  <legacyDrawing r:id="rId2"/>
</worksheet>
</file>

<file path=xl/worksheets/sheet6.xml><?xml version="1.0" encoding="utf-8"?>
<worksheet xmlns="http://schemas.openxmlformats.org/spreadsheetml/2006/main" xmlns:r="http://schemas.openxmlformats.org/officeDocument/2006/relationships">
  <dimension ref="A5:B17"/>
  <sheetViews>
    <sheetView zoomScalePageLayoutView="0" workbookViewId="0" topLeftCell="A1">
      <selection activeCell="E17" sqref="E17"/>
    </sheetView>
  </sheetViews>
  <sheetFormatPr defaultColWidth="8.8515625" defaultRowHeight="12.75"/>
  <cols>
    <col min="1" max="1" width="17.421875" style="0" customWidth="1"/>
  </cols>
  <sheetData>
    <row r="5" ht="12">
      <c r="A5" t="s">
        <v>27</v>
      </c>
    </row>
    <row r="6" ht="12">
      <c r="B6" t="s">
        <v>39</v>
      </c>
    </row>
    <row r="7" spans="1:2" ht="12">
      <c r="A7" t="s">
        <v>28</v>
      </c>
      <c r="B7" s="1">
        <v>0.056</v>
      </c>
    </row>
    <row r="8" spans="1:2" ht="12">
      <c r="A8" t="s">
        <v>29</v>
      </c>
      <c r="B8" s="1">
        <v>0.064</v>
      </c>
    </row>
    <row r="9" spans="1:2" ht="12">
      <c r="A9" t="s">
        <v>34</v>
      </c>
      <c r="B9" s="1">
        <v>0.128</v>
      </c>
    </row>
    <row r="10" spans="1:2" ht="12">
      <c r="A10" t="s">
        <v>30</v>
      </c>
      <c r="B10" s="1">
        <v>0.4</v>
      </c>
    </row>
    <row r="11" spans="1:2" ht="12">
      <c r="A11" t="s">
        <v>31</v>
      </c>
      <c r="B11" s="1">
        <v>1.5</v>
      </c>
    </row>
    <row r="12" spans="1:2" ht="12">
      <c r="A12" t="s">
        <v>32</v>
      </c>
      <c r="B12" s="1">
        <v>2</v>
      </c>
    </row>
    <row r="13" spans="1:2" ht="12">
      <c r="A13" t="s">
        <v>33</v>
      </c>
      <c r="B13" s="1">
        <v>6.3</v>
      </c>
    </row>
    <row r="14" spans="1:2" ht="12">
      <c r="A14" t="s">
        <v>35</v>
      </c>
      <c r="B14" s="1">
        <v>45</v>
      </c>
    </row>
    <row r="15" spans="1:2" ht="12">
      <c r="A15" t="s">
        <v>36</v>
      </c>
      <c r="B15" s="1">
        <v>100</v>
      </c>
    </row>
    <row r="16" spans="1:2" ht="12">
      <c r="A16" t="s">
        <v>37</v>
      </c>
      <c r="B16" s="1">
        <v>155</v>
      </c>
    </row>
    <row r="17" spans="1:2" ht="12">
      <c r="A17" t="s">
        <v>38</v>
      </c>
      <c r="B17" s="1">
        <v>1244</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rogers ackermann</dc:creator>
  <cp:keywords/>
  <dc:description/>
  <cp:lastModifiedBy>William B. Norton User</cp:lastModifiedBy>
  <dcterms:created xsi:type="dcterms:W3CDTF">2005-04-18T10:11:08Z</dcterms:created>
  <dcterms:modified xsi:type="dcterms:W3CDTF">2010-08-17T23:56:15Z</dcterms:modified>
  <cp:category/>
  <cp:version/>
  <cp:contentType/>
  <cp:contentStatus/>
</cp:coreProperties>
</file>